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 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<sst xmlns="http://schemas.openxmlformats.org/spreadsheetml/2006/main" count="2238" uniqueCount="299">
  <si>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</si>
  <si>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</si>
  <si>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</si>
  <si>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</si>
  <si>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</si>
  <si>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</si>
  <si>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</si>
  <si>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</si>
  <si>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</si>
  <si>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</si>
  <si>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</si>
  <si>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</si>
  <si>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</si>
  <si>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</si>
  <si>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</si>
  <si>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</si>
  <si>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</si>
  <si>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</si>
  <si>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</si>
  <si>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</si>
  <si>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</si>
  <si>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</si>
  <si>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</si>
  <si>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</si>
  <si>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</si>
  <si>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</si>
  <si>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</si>
  <si>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</si>
  <si>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</si>
  <si>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</si>
  <si>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</si>
  <si>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</si>
  <si>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</si>
  <si>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</si>
  <si>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</si>
  <si>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</si>
  <si>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</si>
  <si>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</si>
  <si>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</si>
  <si>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</si>
  <si>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</si>
  <si>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</si>
  <si>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</si>
  <si>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</si>
  <si>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</si>
  <si>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</si>
  <si>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</si>
  <si>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</si>
  <si>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</si>
  <si>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</si>
  <si>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</si>
  <si>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</si>
  <si>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</si>
  <si>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</si>
  <si>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</si>
  <si>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</si>
  <si>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</si>
  <si>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</si>
  <si>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</si>
  <si>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</si>
  <si>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</si>
  <si>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</si>
  <si>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</si>
  <si>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</si>
  <si>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</si>
  <si>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</si>
  <si>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</si>
  <si>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</si>
  <si>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</si>
  <si>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</si>
  <si>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</si>
  <si>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</si>
  <si>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</si>
  <si>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</si>
  <si>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</si>
  <si>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</si>
  <si>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</si>
  <si>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</si>
  <si>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</si>
  <si>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</si>
  <si>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</si>
  <si>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</si>
  <si>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</si>
  <si>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</si>
  <si>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</si>
  <si>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</si>
  <si>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</si>
  <si>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</si>
  <si>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</si>
  <si>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</si>
  <si>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</si>
  <si>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</si>
  <si>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</si>
  <si>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</si>
  <si>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</si>
  <si>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</si>
  <si>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</si>
  <si>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</si>
  <si>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</si>
  <si>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</si>
  <si>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</si>
  <si>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</si>
  <si>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</si>
  <si>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</si>
  <si>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</si>
  <si>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</si>
  <si>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</si>
  <si>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</si>
  <si>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</si>
  <si>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</si>
  <si>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</si>
  <si>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</si>
  <si>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</si>
  <si>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</si>
  <si>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</si>
  <si>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</si>
  <si>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</si>
  <si>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</si>
  <si>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</si>
  <si>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</si>
  <si>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</si>
  <si>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</si>
  <si>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</si>
  <si>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</si>
  <si>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</si>
  <si>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</si>
  <si>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</si>
  <si>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</si>
  <si>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</si>
  <si>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</si>
  <si>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</si>
  <si>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</si>
  <si>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</si>
  <si>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</si>
  <si>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</si>
  <si>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</si>
  <si>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</si>
  <si>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</si>
  <si>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</si>
  <si>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</si>
  <si>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</si>
  <si>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</si>
  <si>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</si>
  <si>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</si>
  <si>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</si>
  <si>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</si>
  <si>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</si>
  <si>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</si>
  <si>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</si>
  <si>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</si>
  <si>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</si>
  <si>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</si>
  <si>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</si>
  <si>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</si>
  <si>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</si>
  <si>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</si>
  <si>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</si>
  <si>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</si>
  <si>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</si>
  <si>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</si>
  <si>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</si>
  <si>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</si>
  <si>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</si>
  <si>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</si>
  <si>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</si>
  <si>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</si>
  <si>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</si>
  <si>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</si>
  <si>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</si>
  <si>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</si>
  <si>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</si>
  <si>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</si>
  <si>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</si>
  <si>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</si>
  <si>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</si>
  <si>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</si>
  <si>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</si>
  <si>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</si>
  <si>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</si>
  <si>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</si>
  <si>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</si>
  <si>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</si>
  <si>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</si>
  <si>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</si>
  <si>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</si>
  <si>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</si>
  <si>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</si>
  <si>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</si>
  <si>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</si>
  <si>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</si>
  <si>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</si>
  <si>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</si>
  <si>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</si>
  <si>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</si>
  <si>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</si>
  <si>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</si>
  <si>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</si>
  <si>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</si>
  <si>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</si>
  <si>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</si>
  <si>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</si>
  <si>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</si>
  <si>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</si>
  <si>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</si>
  <si>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</si>
  <si>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</si>
  <si>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</si>
  <si>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</si>
  <si>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</si>
  <si>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</si>
  <si>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</si>
  <si>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</si>
  <si>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</si>
  <si>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</si>
  <si>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</si>
  <si>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</si>
  <si>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</si>
  <si>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</si>
  <si>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</si>
  <si>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</si>
  <si>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</si>
  <si>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</si>
  <si>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</si>
  <si>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</si>
  <si>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</si>
  <si>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</si>
  <si>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</si>
  <si>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</si>
  <si>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</si>
  <si>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</si>
  <si>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</si>
  <si>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</si>
  <si>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</si>
  <si>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</si>
  <si>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</si>
  <si>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</si>
  <si>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</si>
  <si>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</si>
  <si>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</si>
  <si>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</si>
  <si>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</si>
  <si>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</si>
  <si>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</si>
  <si>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</si>
  <si>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</si>
  <si>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</si>
  <si>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</si>
  <si>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</si>
  <si>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</si>
  <si>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</si>
  <si>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</si>
  <si>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</si>
  <si>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</si>
  <si>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</si>
  <si>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</si>
  <si>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</si>
  <si>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</si>
  <si>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</si>
  <si>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</si>
  <si>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</si>
  <si>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</si>
  <si>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</si>
  <si>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</si>
  <si>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</si>
  <si>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</si>
  <si>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</si>
  <si>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</si>
  <si>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</si>
  <si>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</si>
  <si>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</si>
  <si>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</si>
  <si>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</si>
  <si>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</si>
  <si>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</si>
  <si>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</si>
  <si>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</si>
  <si>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</si>
  <si>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</si>
  <si>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</si>
  <si>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</si>
  <si>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</si>
  <si>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</si>
  <si>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</si>
  <si>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</si>
  <si>
    <t>16010000   18000000</t>
  </si>
  <si>
    <t>Динаміка  фактичних надходжень січень-жовтень 2013 та 2014 років</t>
  </si>
  <si>
    <t>16010000  18000000</t>
  </si>
  <si>
    <t>Динаміка  фактичних надходжень жовтень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</si>
  <si>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</si>
  <si>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</si>
  <si>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січень-листопад</t>
  </si>
  <si>
    <t>Відхилення до плану на січень-листопад</t>
  </si>
  <si>
    <t>Динаміка  фактичних надходжень січень-листопад 2013 та 2014 років</t>
  </si>
  <si>
    <t>на листопад  місяць</t>
  </si>
  <si>
    <t>Виконано у листопаді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</si>
  <si>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(січень-жовтень)</t>
    </r>
  </si>
  <si>
    <t>Динаміка  фактичних надходжень листопад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</si>
  <si>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05.11.2014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</si>
  <si>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04.11.14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</si>
</sst>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3" fontId="7" fillId="0" borderId="1" xfId="20" applyNumberFormat="1" applyFont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vertical="center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1"/>
      <sheetName val="депозит"/>
      <sheetName val="залишки  (2)"/>
      <sheetName val="надх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грудень"/>
      <sheetName val="повернення по окремим платникам"/>
    </sheetNames>
    <sheetDataSet>
      <sheetData sheetId="13">
        <row r="8">
          <cell r="G8">
            <v>0</v>
          </cell>
        </row>
        <row r="9">
          <cell r="G9">
            <v>9020596.530000001</v>
          </cell>
        </row>
      </sheetData>
      <sheetData sheetId="14">
        <row r="52">
          <cell r="B52">
            <v>15285838.639999999</v>
          </cell>
        </row>
      </sheetData>
      <sheetData sheetId="23">
        <row r="28">
          <cell r="C28">
            <v>4870376.3</v>
          </cell>
        </row>
      </sheetData>
      <sheetData sheetId="24">
        <row r="28">
          <cell r="C28">
            <v>3219411</v>
          </cell>
        </row>
      </sheetData>
      <sheetData sheetId="25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50" sqref="G150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297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294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291</v>
      </c>
      <c r="H4" s="206" t="s">
        <v>280</v>
      </c>
      <c r="I4" s="202" t="s">
        <v>188</v>
      </c>
      <c r="J4" s="208" t="s">
        <v>189</v>
      </c>
      <c r="K4" s="195" t="s">
        <v>292</v>
      </c>
      <c r="L4" s="196"/>
      <c r="M4" s="216"/>
      <c r="N4" s="200" t="s">
        <v>298</v>
      </c>
      <c r="O4" s="202" t="s">
        <v>136</v>
      </c>
      <c r="P4" s="202" t="s">
        <v>135</v>
      </c>
      <c r="Q4" s="195" t="s">
        <v>296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290</v>
      </c>
      <c r="F5" s="219"/>
      <c r="G5" s="205"/>
      <c r="H5" s="207"/>
      <c r="I5" s="203"/>
      <c r="J5" s="209"/>
      <c r="K5" s="197"/>
      <c r="L5" s="198"/>
      <c r="M5" s="151" t="s">
        <v>293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431258.02999999997</v>
      </c>
      <c r="F8" s="22">
        <f>F10+F19+F33+F56+F68+F30</f>
        <v>390289.14</v>
      </c>
      <c r="G8" s="22">
        <f aca="true" t="shared" si="0" ref="G8:G30">F8-E8</f>
        <v>-40968.889999999956</v>
      </c>
      <c r="H8" s="51">
        <f>F8/E8*100</f>
        <v>90.50014442629626</v>
      </c>
      <c r="I8" s="36">
        <f aca="true" t="shared" si="1" ref="I8:I17">F8-D8</f>
        <v>-98187.15999999997</v>
      </c>
      <c r="J8" s="36">
        <f aca="true" t="shared" si="2" ref="J8:J14">F8/D8*100</f>
        <v>79.89929910622071</v>
      </c>
      <c r="K8" s="36">
        <f>F8-421084.1</f>
        <v>-30794.959999999963</v>
      </c>
      <c r="L8" s="136">
        <f>F8/421084.1</f>
        <v>0.9268674357450211</v>
      </c>
      <c r="M8" s="22">
        <f>M10+M19+M33+M56+M68+M30</f>
        <v>40254.39000000002</v>
      </c>
      <c r="N8" s="22">
        <f>N10+N19+N33+N56+N68+N30</f>
        <v>1529.8899999999765</v>
      </c>
      <c r="O8" s="36">
        <f aca="true" t="shared" si="3" ref="O8:O71">N8-M8</f>
        <v>-38724.500000000044</v>
      </c>
      <c r="P8" s="36">
        <f>F8/M8*100</f>
        <v>969.556711702748</v>
      </c>
      <c r="Q8" s="36">
        <f>N8-39535.7</f>
        <v>-38005.81000000002</v>
      </c>
      <c r="R8" s="134">
        <f>N8/39535.7</f>
        <v>0.03869641867982549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317450.23</v>
      </c>
      <c r="G9" s="22">
        <f t="shared" si="0"/>
        <v>317450.23</v>
      </c>
      <c r="H9" s="20"/>
      <c r="I9" s="56">
        <f t="shared" si="1"/>
        <v>-69562.97000000003</v>
      </c>
      <c r="J9" s="56">
        <f t="shared" si="2"/>
        <v>82.02568542881741</v>
      </c>
      <c r="K9" s="56"/>
      <c r="L9" s="135"/>
      <c r="M9" s="20">
        <f>M10+M17</f>
        <v>32301.900000000023</v>
      </c>
      <c r="N9" s="20">
        <f>N10+N17</f>
        <v>1428.039999999979</v>
      </c>
      <c r="O9" s="36">
        <f t="shared" si="3"/>
        <v>-30873.860000000044</v>
      </c>
      <c r="P9" s="56">
        <f>F9/M9*100</f>
        <v>982.7602401097142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352008</v>
      </c>
      <c r="F10" s="169">
        <v>317450.23</v>
      </c>
      <c r="G10" s="49">
        <f t="shared" si="0"/>
        <v>-34557.77000000002</v>
      </c>
      <c r="H10" s="40">
        <f aca="true" t="shared" si="4" ref="H10:H17">F10/E10*100</f>
        <v>90.18267482557214</v>
      </c>
      <c r="I10" s="56">
        <f t="shared" si="1"/>
        <v>-69562.97000000003</v>
      </c>
      <c r="J10" s="56">
        <f t="shared" si="2"/>
        <v>82.02568542881741</v>
      </c>
      <c r="K10" s="141">
        <f>F10-334336.4</f>
        <v>-16886.170000000042</v>
      </c>
      <c r="L10" s="142">
        <f>F10/334336.4</f>
        <v>0.9494934742373249</v>
      </c>
      <c r="M10" s="40">
        <f>E10-жовтень!E10</f>
        <v>32301.900000000023</v>
      </c>
      <c r="N10" s="40">
        <f>F10-жовтень!F10</f>
        <v>1428.039999999979</v>
      </c>
      <c r="O10" s="53">
        <f t="shared" si="3"/>
        <v>-30873.860000000044</v>
      </c>
      <c r="P10" s="56">
        <f aca="true" t="shared" si="5" ref="P10:P17">N10/M10*100</f>
        <v>4.420916416681304</v>
      </c>
      <c r="Q10" s="141">
        <f>N10-32243.9</f>
        <v>-30815.860000000022</v>
      </c>
      <c r="R10" s="142">
        <f>N10/32243.9</f>
        <v>0.04428868716253242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E11-жовтень!E11</f>
        <v>0</v>
      </c>
      <c r="N11" s="40">
        <f>F11-жовтень!F11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E12-жовтень!E12</f>
        <v>0</v>
      </c>
      <c r="N12" s="40">
        <f>F12-жовтень!F12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E13-жовтень!E13</f>
        <v>0</v>
      </c>
      <c r="N13" s="40">
        <f>F13-жовтень!F13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E14-жовтень!E14</f>
        <v>0</v>
      </c>
      <c r="N14" s="40">
        <f>F14-жовтень!F14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E15-жовтень!E15</f>
        <v>0</v>
      </c>
      <c r="N15" s="40">
        <f>F15-жовтень!F15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E16-жовтень!E16</f>
        <v>0</v>
      </c>
      <c r="N16" s="40">
        <f>F16-жовтень!F16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E17-жовтень!E17</f>
        <v>0</v>
      </c>
      <c r="N17" s="40">
        <f>F17-жовтень!F17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E18-жовтень!E18</f>
        <v>0</v>
      </c>
      <c r="N18" s="40">
        <f>F18-жовтень!F18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1079.6</v>
      </c>
      <c r="F19" s="169">
        <v>-880.89</v>
      </c>
      <c r="G19" s="49">
        <f t="shared" si="0"/>
        <v>-1960.4899999999998</v>
      </c>
      <c r="H19" s="40">
        <f aca="true" t="shared" si="6" ref="H19:H29">F19/E19*100</f>
        <v>-81.59410892923306</v>
      </c>
      <c r="I19" s="56">
        <f aca="true" t="shared" si="7" ref="I19:I29">F19-D19</f>
        <v>-1880.8899999999999</v>
      </c>
      <c r="J19" s="56">
        <f aca="true" t="shared" si="8" ref="J19:J29">F19/D19*100</f>
        <v>-88.089</v>
      </c>
      <c r="K19" s="167">
        <f>F19-7207</f>
        <v>-8087.89</v>
      </c>
      <c r="L19" s="168">
        <f>F19/7207</f>
        <v>-0.12222700152629389</v>
      </c>
      <c r="M19" s="40">
        <f>E19-жовтень!E19</f>
        <v>12</v>
      </c>
      <c r="N19" s="40">
        <f>F19-жовтень!F19</f>
        <v>0</v>
      </c>
      <c r="O19" s="53">
        <f t="shared" si="3"/>
        <v>-12</v>
      </c>
      <c r="P19" s="56">
        <f aca="true" t="shared" si="9" ref="P19:P29">N19/M19*100</f>
        <v>0</v>
      </c>
      <c r="Q19" s="56">
        <f>N19-363.4</f>
        <v>-363.4</v>
      </c>
      <c r="R19" s="135">
        <f>N19/363.4</f>
        <v>0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E20-жовтень!E20</f>
        <v>0</v>
      </c>
      <c r="N20" s="40">
        <f>F20-жовтень!F20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E21-жовтень!E21</f>
        <v>0</v>
      </c>
      <c r="N21" s="40">
        <f>F21-жовтень!F21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E22-жовтень!E22</f>
        <v>0</v>
      </c>
      <c r="N22" s="40">
        <f>F22-жовтень!F22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E23-жовтень!E23</f>
        <v>0</v>
      </c>
      <c r="N23" s="40">
        <f>F23-жовтень!F23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E24-жовтень!E24</f>
        <v>0</v>
      </c>
      <c r="N24" s="40">
        <f>F24-жовтень!F24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E25-жовтень!E25</f>
        <v>0</v>
      </c>
      <c r="N25" s="40">
        <f>F25-жовтень!F25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E26-жовтень!E26</f>
        <v>0</v>
      </c>
      <c r="N26" s="40">
        <f>F26-жовтень!F26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E27-жовтень!E27</f>
        <v>0</v>
      </c>
      <c r="N27" s="40">
        <f>F27-жовтень!F27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E28-жовтень!E28</f>
        <v>0</v>
      </c>
      <c r="N28" s="40">
        <f>F28-жовтень!F28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819.6</v>
      </c>
      <c r="F29" s="170">
        <v>-381.9</v>
      </c>
      <c r="G29" s="49">
        <f t="shared" si="0"/>
        <v>-1201.5</v>
      </c>
      <c r="H29" s="40">
        <f t="shared" si="6"/>
        <v>-46.59590043923865</v>
      </c>
      <c r="I29" s="56">
        <f t="shared" si="7"/>
        <v>-1311.9</v>
      </c>
      <c r="J29" s="56">
        <f t="shared" si="8"/>
        <v>-41.064516129032256</v>
      </c>
      <c r="K29" s="148">
        <f>F29-3580.01</f>
        <v>-3961.9100000000003</v>
      </c>
      <c r="L29" s="149">
        <f>F29/3580.01</f>
        <v>-0.1066756796768724</v>
      </c>
      <c r="M29" s="40">
        <f>E29-жовтень!E29</f>
        <v>12</v>
      </c>
      <c r="N29" s="40">
        <f>F29-жовтень!F29</f>
        <v>0</v>
      </c>
      <c r="O29" s="148">
        <f t="shared" si="3"/>
        <v>-12</v>
      </c>
      <c r="P29" s="145">
        <f t="shared" si="9"/>
        <v>0</v>
      </c>
      <c r="Q29" s="148">
        <f>N29-664.71</f>
        <v>-664.71</v>
      </c>
      <c r="R29" s="149">
        <f>N29/664.71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37</v>
      </c>
      <c r="F30" s="169">
        <f>0.04+31.36</f>
        <v>31.4</v>
      </c>
      <c r="G30" s="49">
        <f t="shared" si="0"/>
        <v>-5.600000000000001</v>
      </c>
      <c r="H30" s="40"/>
      <c r="I30" s="56"/>
      <c r="J30" s="56"/>
      <c r="K30" s="56">
        <f>F30-36.9</f>
        <v>-5.5</v>
      </c>
      <c r="L30" s="149">
        <f>F30/36.9</f>
        <v>0.8509485094850948</v>
      </c>
      <c r="M30" s="40">
        <f>E30-жовтень!E30</f>
        <v>9.5</v>
      </c>
      <c r="N30" s="40">
        <f>F30-жовтень!F30</f>
        <v>28.049999999999997</v>
      </c>
      <c r="O30" s="53">
        <f t="shared" si="3"/>
        <v>18.549999999999997</v>
      </c>
      <c r="P30" s="56"/>
      <c r="Q30" s="56">
        <f>N30-11.8</f>
        <v>16.249999999999996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E31-жовтень!E31</f>
        <v>0</v>
      </c>
      <c r="N31" s="40">
        <f>F31-жовтень!F31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E32-жовтень!E32</f>
        <v>0</v>
      </c>
      <c r="N32" s="40">
        <f>F32-жовтень!F32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71913.43</v>
      </c>
      <c r="F33" s="169">
        <v>68305.4</v>
      </c>
      <c r="G33" s="49">
        <f aca="true" t="shared" si="14" ref="G33:G72">F33-E33</f>
        <v>-3608.029999999999</v>
      </c>
      <c r="H33" s="40">
        <f aca="true" t="shared" si="15" ref="H33:H67">F33/E33*100</f>
        <v>94.98281475379494</v>
      </c>
      <c r="I33" s="56">
        <f>F33-D33</f>
        <v>-25260.600000000006</v>
      </c>
      <c r="J33" s="56">
        <f aca="true" t="shared" si="16" ref="J33:J72">F33/D33*100</f>
        <v>73.00237265673428</v>
      </c>
      <c r="K33" s="141">
        <f>F33-73845.7</f>
        <v>-5540.300000000003</v>
      </c>
      <c r="L33" s="142">
        <f>F33/73845.7</f>
        <v>0.9249746430733272</v>
      </c>
      <c r="M33" s="40">
        <f>E33-жовтень!E33</f>
        <v>7377.5899999999965</v>
      </c>
      <c r="N33" s="40">
        <f>F33-жовтень!F33</f>
        <v>38.55999999999767</v>
      </c>
      <c r="O33" s="53">
        <f t="shared" si="3"/>
        <v>-7339.029999999999</v>
      </c>
      <c r="P33" s="56">
        <f aca="true" t="shared" si="17" ref="P33:P67">N33/M33*100</f>
        <v>0.5226639051505667</v>
      </c>
      <c r="Q33" s="141">
        <f>N33-6429.9</f>
        <v>-6391.340000000002</v>
      </c>
      <c r="R33" s="142">
        <f>N33/6429.9</f>
        <v>0.005996982845767069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E34-жовтень!E34</f>
        <v>0</v>
      </c>
      <c r="N34" s="40">
        <f>F34-жовтень!F34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E35-жовтень!E35</f>
        <v>0</v>
      </c>
      <c r="N35" s="40">
        <f>F35-жовтень!F35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E36-жовтень!E36</f>
        <v>0</v>
      </c>
      <c r="N36" s="40">
        <f>F36-жовтень!F36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E37-жовтень!E37</f>
        <v>0</v>
      </c>
      <c r="N37" s="40">
        <f>F37-жовтень!F37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E38-жовтень!E38</f>
        <v>0</v>
      </c>
      <c r="N38" s="40">
        <f>F38-жовтень!F38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E39-жовтень!E39</f>
        <v>0</v>
      </c>
      <c r="N39" s="40">
        <f>F39-жовтень!F39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E40-жовтень!E40</f>
        <v>0</v>
      </c>
      <c r="N40" s="40">
        <f>F40-жовтень!F40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E41-жовтень!E41</f>
        <v>0</v>
      </c>
      <c r="N41" s="40">
        <f>F41-жовтень!F41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E42-жовтень!E42</f>
        <v>0</v>
      </c>
      <c r="N42" s="40">
        <f>F42-жовтень!F42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E43-жовтень!E43</f>
        <v>0</v>
      </c>
      <c r="N43" s="40">
        <f>F43-жовтень!F43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E44-жовтень!E44</f>
        <v>0</v>
      </c>
      <c r="N44" s="40">
        <f>F44-жовтень!F44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E45-жовтень!E45</f>
        <v>0</v>
      </c>
      <c r="N45" s="40">
        <f>F45-жовтень!F45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E46-жовтень!E46</f>
        <v>0</v>
      </c>
      <c r="N46" s="40">
        <f>F46-жовтень!F46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E47-жовтень!E47</f>
        <v>0</v>
      </c>
      <c r="N47" s="40">
        <f>F47-жовтень!F47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E48-жовтень!E48</f>
        <v>0</v>
      </c>
      <c r="N48" s="40">
        <f>F48-жовтень!F48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E49-жовтень!E49</f>
        <v>0</v>
      </c>
      <c r="N49" s="40">
        <f>F49-жовтень!F49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E50-жовтень!E50</f>
        <v>0</v>
      </c>
      <c r="N50" s="40">
        <f>F50-жовтень!F50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E51-жовтень!E51</f>
        <v>0</v>
      </c>
      <c r="N51" s="40">
        <f>F51-жовтень!F51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E52-жовтень!E52</f>
        <v>0</v>
      </c>
      <c r="N52" s="40">
        <f>F52-жовтень!F52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E53-жовтень!E53</f>
        <v>0</v>
      </c>
      <c r="N53" s="40">
        <f>F53-жовтень!F53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E54-жовтень!E54</f>
        <v>0</v>
      </c>
      <c r="N54" s="40">
        <f>F54-жовтень!F54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52848.53</v>
      </c>
      <c r="F55" s="170">
        <v>50814.7</v>
      </c>
      <c r="G55" s="144">
        <f t="shared" si="14"/>
        <v>-2033.8300000000017</v>
      </c>
      <c r="H55" s="146">
        <f t="shared" si="15"/>
        <v>96.15158643012398</v>
      </c>
      <c r="I55" s="145">
        <f t="shared" si="18"/>
        <v>-19451.300000000003</v>
      </c>
      <c r="J55" s="145">
        <f t="shared" si="16"/>
        <v>72.31762160931318</v>
      </c>
      <c r="K55" s="148">
        <f>F55-53912.95</f>
        <v>-3098.25</v>
      </c>
      <c r="L55" s="149">
        <f>F55/53912.95</f>
        <v>0.9425323600359469</v>
      </c>
      <c r="M55" s="40">
        <f>E55-жовтень!E55</f>
        <v>5442.989999999998</v>
      </c>
      <c r="N55" s="40">
        <f>F55-жовтень!F55</f>
        <v>110.04999999999563</v>
      </c>
      <c r="O55" s="148">
        <f t="shared" si="3"/>
        <v>-5332.940000000002</v>
      </c>
      <c r="P55" s="148">
        <f t="shared" si="17"/>
        <v>2.0218666578479048</v>
      </c>
      <c r="Q55" s="160">
        <f>N55-4756.32</f>
        <v>-4646.270000000004</v>
      </c>
      <c r="R55" s="161">
        <f>N55/4756.32</f>
        <v>0.023137635819287947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6219.9</v>
      </c>
      <c r="F56" s="169">
        <f>1.51+5379.69</f>
        <v>5381.2</v>
      </c>
      <c r="G56" s="49">
        <f t="shared" si="14"/>
        <v>-838.6999999999998</v>
      </c>
      <c r="H56" s="40">
        <f t="shared" si="15"/>
        <v>86.51586038360746</v>
      </c>
      <c r="I56" s="56">
        <f t="shared" si="18"/>
        <v>-1478.8000000000002</v>
      </c>
      <c r="J56" s="56">
        <f t="shared" si="16"/>
        <v>78.44314868804665</v>
      </c>
      <c r="K56" s="56">
        <f>F56-6560</f>
        <v>-1178.8000000000002</v>
      </c>
      <c r="L56" s="135">
        <f>F56/6560</f>
        <v>0.8203048780487805</v>
      </c>
      <c r="M56" s="40">
        <f>E56-жовтень!E56</f>
        <v>553.3999999999996</v>
      </c>
      <c r="N56" s="40">
        <f>F56-жовтень!F56</f>
        <v>35.23999999999978</v>
      </c>
      <c r="O56" s="53">
        <f t="shared" si="3"/>
        <v>-518.1599999999999</v>
      </c>
      <c r="P56" s="56">
        <f t="shared" si="17"/>
        <v>6.3679074810263465</v>
      </c>
      <c r="Q56" s="56">
        <f>N56-486.5</f>
        <v>-451.2600000000002</v>
      </c>
      <c r="R56" s="135">
        <f>N56/486.5</f>
        <v>0.07243576567317529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E57-жовтень!E57</f>
        <v>0</v>
      </c>
      <c r="N57" s="40">
        <f>F57-жовтень!F57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E58-жовтень!E58</f>
        <v>0</v>
      </c>
      <c r="N58" s="40">
        <f>F58-жовтень!F58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E59-жовтень!E59</f>
        <v>0</v>
      </c>
      <c r="N59" s="40">
        <f>F59-жовтень!F59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E60-жовтень!E60</f>
        <v>0</v>
      </c>
      <c r="N60" s="40">
        <f>F60-жовтень!F60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E61-жовтень!E61</f>
        <v>0</v>
      </c>
      <c r="N61" s="40">
        <f>F61-жовтень!F61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E62-жовтень!E62</f>
        <v>0</v>
      </c>
      <c r="N62" s="40">
        <f>F62-жовтень!F62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E63-жовтень!E63</f>
        <v>0</v>
      </c>
      <c r="N63" s="40">
        <f>F63-жовтень!F63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E64-жовтень!E64</f>
        <v>0</v>
      </c>
      <c r="N64" s="40">
        <f>F64-жовтень!F64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E65-жовтень!E65</f>
        <v>0</v>
      </c>
      <c r="N65" s="40">
        <f>F65-жовтень!F65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E66-жовтень!E66</f>
        <v>0</v>
      </c>
      <c r="N66" s="40">
        <f>F66-жовтень!F66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E67-жовтень!E67</f>
        <v>0</v>
      </c>
      <c r="N67" s="40">
        <f>F67-жовтень!F67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1.8</v>
      </c>
      <c r="G68" s="49">
        <f t="shared" si="14"/>
        <v>1.7</v>
      </c>
      <c r="H68" s="40"/>
      <c r="I68" s="56">
        <f t="shared" si="18"/>
        <v>1.7</v>
      </c>
      <c r="J68" s="56">
        <f t="shared" si="16"/>
        <v>1800</v>
      </c>
      <c r="K68" s="56">
        <f>F68-(-1.9)</f>
        <v>3.7</v>
      </c>
      <c r="L68" s="135"/>
      <c r="M68" s="40">
        <f>E68-жовтень!E68</f>
        <v>0</v>
      </c>
      <c r="N68" s="40">
        <f>F68-жовтень!F68</f>
        <v>0</v>
      </c>
      <c r="O68" s="53">
        <f t="shared" si="3"/>
        <v>0</v>
      </c>
      <c r="P68" s="56"/>
      <c r="Q68" s="56">
        <f>N68-0.2</f>
        <v>-0.2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15277</v>
      </c>
      <c r="F74" s="22">
        <f>F77+F86+F88+F89+F94+F95+F96+F97+F99+F104+F87+F103</f>
        <v>10867.84</v>
      </c>
      <c r="G74" s="50">
        <f aca="true" t="shared" si="24" ref="G74:G92">F74-E74</f>
        <v>-4409.16</v>
      </c>
      <c r="H74" s="51">
        <f aca="true" t="shared" si="25" ref="H74:H87">F74/E74*100</f>
        <v>71.1385743274203</v>
      </c>
      <c r="I74" s="36">
        <f aca="true" t="shared" si="26" ref="I74:I92">F74-D74</f>
        <v>-7490.459999999999</v>
      </c>
      <c r="J74" s="36">
        <f aca="true" t="shared" si="27" ref="J74:J92">F74/D74*100</f>
        <v>59.19850966592768</v>
      </c>
      <c r="K74" s="36">
        <f>F74-17827.8</f>
        <v>-6959.959999999999</v>
      </c>
      <c r="L74" s="136">
        <f>F74/17827.8</f>
        <v>0.609600735929279</v>
      </c>
      <c r="M74" s="22">
        <f>M77+M86+M88+M89+M94+M95+M96+M97+M99+M87+M104</f>
        <v>1580.5</v>
      </c>
      <c r="N74" s="22">
        <f>N77+N86+N88+N89+N94+N95+N96+N97+N99+N32+N104+N87+N103</f>
        <v>78.93000000000004</v>
      </c>
      <c r="O74" s="55">
        <f aca="true" t="shared" si="28" ref="O74:O92">N74-M74</f>
        <v>-1501.57</v>
      </c>
      <c r="P74" s="36">
        <f>N74/M74*100</f>
        <v>4.993989243910157</v>
      </c>
      <c r="Q74" s="36">
        <f>N74-1502.5</f>
        <v>-1423.57</v>
      </c>
      <c r="R74" s="136">
        <f>N74/1502.5</f>
        <v>0.05253244592346092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160</v>
      </c>
      <c r="F77" s="169">
        <v>123.45</v>
      </c>
      <c r="G77" s="49">
        <f t="shared" si="24"/>
        <v>-36.55</v>
      </c>
      <c r="H77" s="40">
        <f t="shared" si="25"/>
        <v>77.15625</v>
      </c>
      <c r="I77" s="56">
        <f t="shared" si="26"/>
        <v>-376.55</v>
      </c>
      <c r="J77" s="56">
        <f t="shared" si="27"/>
        <v>24.69</v>
      </c>
      <c r="K77" s="167">
        <f>F77-1728.8</f>
        <v>-1605.35</v>
      </c>
      <c r="L77" s="168">
        <f>F77/1728.8</f>
        <v>0.07140791300323925</v>
      </c>
      <c r="M77" s="40">
        <f>E77-жовтень!E77</f>
        <v>50</v>
      </c>
      <c r="N77" s="40">
        <f>F77-жовтень!F77</f>
        <v>0</v>
      </c>
      <c r="O77" s="53">
        <f t="shared" si="28"/>
        <v>-50</v>
      </c>
      <c r="P77" s="56">
        <f aca="true" t="shared" si="29" ref="P77:P87">N77/M77*100</f>
        <v>0</v>
      </c>
      <c r="Q77" s="56">
        <f>N77-11.1</f>
        <v>-11.1</v>
      </c>
      <c r="R77" s="135">
        <f>N77/11.1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E78-жовтень!E78</f>
        <v>0</v>
      </c>
      <c r="N78" s="40">
        <f>F78-жовтень!F78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E79-жовтень!E79</f>
        <v>0</v>
      </c>
      <c r="N79" s="40">
        <f>F79-жовтень!F79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E80-жовтень!E80</f>
        <v>0</v>
      </c>
      <c r="N80" s="40">
        <f>F80-жовтень!F80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E81-жовтень!E81</f>
        <v>0</v>
      </c>
      <c r="N81" s="40">
        <f>F81-жовтень!F81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E82-жовтень!E82</f>
        <v>0</v>
      </c>
      <c r="N82" s="40">
        <f>F82-жовтень!F82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E83-жовтень!E83</f>
        <v>0</v>
      </c>
      <c r="N83" s="40">
        <f>F83-жовтень!F83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E84-жовтень!E84</f>
        <v>0</v>
      </c>
      <c r="N84" s="40">
        <f>F84-жовтень!F84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E85-жовтень!E85</f>
        <v>0</v>
      </c>
      <c r="N85" s="40">
        <f>F85-жовтень!F85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3560</v>
      </c>
      <c r="F86" s="169">
        <v>0</v>
      </c>
      <c r="G86" s="49">
        <f t="shared" si="24"/>
        <v>-3560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F86-3572.4</f>
        <v>-3572.4</v>
      </c>
      <c r="L86" s="168"/>
      <c r="M86" s="40">
        <f>E86-жовтень!E86</f>
        <v>480</v>
      </c>
      <c r="N86" s="40">
        <f>F86-жовтень!F86</f>
        <v>0</v>
      </c>
      <c r="O86" s="53">
        <f t="shared" si="28"/>
        <v>-480</v>
      </c>
      <c r="P86" s="56">
        <f t="shared" si="29"/>
        <v>0</v>
      </c>
      <c r="Q86" s="56">
        <f>N86-467.1</f>
        <v>-467.1</v>
      </c>
      <c r="R86" s="135">
        <f>N86/467.1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279.6</v>
      </c>
      <c r="G87" s="49">
        <f t="shared" si="24"/>
        <v>59.60000000000002</v>
      </c>
      <c r="H87" s="40">
        <f t="shared" si="25"/>
        <v>127.0909090909091</v>
      </c>
      <c r="I87" s="56">
        <f t="shared" si="26"/>
        <v>-220.39999999999998</v>
      </c>
      <c r="J87" s="56">
        <f t="shared" si="27"/>
        <v>55.92</v>
      </c>
      <c r="K87" s="56">
        <f>F87-227.9</f>
        <v>51.70000000000002</v>
      </c>
      <c r="L87" s="135">
        <f>F87/227.9</f>
        <v>1.2268538832821414</v>
      </c>
      <c r="M87" s="40">
        <f>E87-жовтень!E87</f>
        <v>0</v>
      </c>
      <c r="N87" s="40">
        <f>F87-жовтень!F87</f>
        <v>0</v>
      </c>
      <c r="O87" s="53">
        <f t="shared" si="28"/>
        <v>0</v>
      </c>
      <c r="P87" s="56" t="e">
        <f t="shared" si="29"/>
        <v>#DIV/0!</v>
      </c>
      <c r="Q87" s="56">
        <f>N87-5.7</f>
        <v>-5.7</v>
      </c>
      <c r="R87" s="135">
        <f>N87/5.7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4.5</v>
      </c>
      <c r="F88" s="169">
        <v>5.6</v>
      </c>
      <c r="G88" s="49">
        <f t="shared" si="24"/>
        <v>1.0999999999999996</v>
      </c>
      <c r="H88" s="40">
        <f>F88/E88*100</f>
        <v>124.44444444444444</v>
      </c>
      <c r="I88" s="56">
        <f t="shared" si="26"/>
        <v>0.5</v>
      </c>
      <c r="J88" s="56">
        <f t="shared" si="27"/>
        <v>109.80392156862746</v>
      </c>
      <c r="K88" s="56">
        <f>F88-4.9</f>
        <v>0.6999999999999993</v>
      </c>
      <c r="L88" s="135"/>
      <c r="M88" s="40">
        <f>E88-жовтень!E88</f>
        <v>0.5</v>
      </c>
      <c r="N88" s="40">
        <f>F88-жовтень!F88</f>
        <v>0</v>
      </c>
      <c r="O88" s="53">
        <f t="shared" si="28"/>
        <v>-0.5</v>
      </c>
      <c r="P88" s="56">
        <f>N88/M88*100</f>
        <v>0</v>
      </c>
      <c r="Q88" s="56">
        <f>N88-0.5</f>
        <v>-0.5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159</v>
      </c>
      <c r="F89" s="169">
        <v>113.3</v>
      </c>
      <c r="G89" s="49">
        <f t="shared" si="24"/>
        <v>-45.7</v>
      </c>
      <c r="H89" s="40">
        <f>F89/E89*100</f>
        <v>71.25786163522012</v>
      </c>
      <c r="I89" s="56">
        <f t="shared" si="26"/>
        <v>-61.7</v>
      </c>
      <c r="J89" s="56">
        <f t="shared" si="27"/>
        <v>64.74285714285715</v>
      </c>
      <c r="K89" s="56">
        <f>F89-147.9</f>
        <v>-34.60000000000001</v>
      </c>
      <c r="L89" s="135">
        <f>F89/147.9</f>
        <v>0.7660581473968897</v>
      </c>
      <c r="M89" s="40">
        <f>E89-жовтень!E89</f>
        <v>15</v>
      </c>
      <c r="N89" s="40">
        <f>F89-жовтень!F89</f>
        <v>0.8499999999999943</v>
      </c>
      <c r="O89" s="53">
        <f t="shared" si="28"/>
        <v>-14.150000000000006</v>
      </c>
      <c r="P89" s="56">
        <f>N89/M89*100</f>
        <v>5.666666666666629</v>
      </c>
      <c r="Q89" s="56">
        <f>N89-10.4</f>
        <v>-9.550000000000006</v>
      </c>
      <c r="R89" s="135">
        <f>N89/10.4</f>
        <v>0.08173076923076868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E90-жовтень!E90</f>
        <v>0</v>
      </c>
      <c r="N90" s="40">
        <f>F90-жовтень!F90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E91-жовтень!E91</f>
        <v>0</v>
      </c>
      <c r="N91" s="40">
        <f>F91-жовтень!F91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E92-жовтень!E92</f>
        <v>0</v>
      </c>
      <c r="N92" s="40">
        <f>F92-жовтень!F92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E93-жовтень!E93</f>
        <v>0</v>
      </c>
      <c r="N93" s="40">
        <f>F93-жовтень!F93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E94-жовтень!E94</f>
        <v>0</v>
      </c>
      <c r="N94" s="40">
        <f>F94-жовтень!F94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6406.5</v>
      </c>
      <c r="F95" s="169">
        <v>5937.2</v>
      </c>
      <c r="G95" s="49">
        <f t="shared" si="31"/>
        <v>-469.3000000000002</v>
      </c>
      <c r="H95" s="40">
        <f>F95/E95*100</f>
        <v>92.67462733161632</v>
      </c>
      <c r="I95" s="56">
        <f t="shared" si="32"/>
        <v>-1062.8000000000002</v>
      </c>
      <c r="J95" s="56">
        <f>F95/D95*100</f>
        <v>84.81714285714285</v>
      </c>
      <c r="K95" s="56">
        <f>F95-6761</f>
        <v>-823.8000000000002</v>
      </c>
      <c r="L95" s="135">
        <f>F95/6761</f>
        <v>0.8781541192131341</v>
      </c>
      <c r="M95" s="40">
        <f>E95-жовтень!E95</f>
        <v>575</v>
      </c>
      <c r="N95" s="40">
        <f>F95-жовтень!F95</f>
        <v>0.0500000000001819</v>
      </c>
      <c r="O95" s="53">
        <f t="shared" si="33"/>
        <v>-574.9499999999998</v>
      </c>
      <c r="P95" s="56">
        <f>N95/M95*100</f>
        <v>0.008695652173944678</v>
      </c>
      <c r="Q95" s="56">
        <f>N95-591</f>
        <v>-590.9499999999998</v>
      </c>
      <c r="R95" s="135">
        <f>N95/591</f>
        <v>8.460236886663603E-05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1014.5</v>
      </c>
      <c r="F96" s="169">
        <v>867.54</v>
      </c>
      <c r="G96" s="49">
        <f t="shared" si="31"/>
        <v>-146.96000000000004</v>
      </c>
      <c r="H96" s="40">
        <f>F96/E96*100</f>
        <v>85.51404632824051</v>
      </c>
      <c r="I96" s="56">
        <f t="shared" si="32"/>
        <v>-332.46000000000004</v>
      </c>
      <c r="J96" s="56">
        <f>F96/D96*100</f>
        <v>72.295</v>
      </c>
      <c r="K96" s="56">
        <f>F96-1013.8</f>
        <v>-146.26</v>
      </c>
      <c r="L96" s="135">
        <f>F96/1013.8</f>
        <v>0.855730913395147</v>
      </c>
      <c r="M96" s="40">
        <f>E96-жовтень!E96</f>
        <v>110</v>
      </c>
      <c r="N96" s="40">
        <f>F96-жовтень!F96</f>
        <v>2.3700000000000045</v>
      </c>
      <c r="O96" s="53">
        <f t="shared" si="33"/>
        <v>-107.63</v>
      </c>
      <c r="P96" s="56">
        <f>N96/M96*100</f>
        <v>2.1545454545454588</v>
      </c>
      <c r="Q96" s="56">
        <f>N96-83.7</f>
        <v>-81.33</v>
      </c>
      <c r="R96" s="135">
        <f>N96/83.7</f>
        <v>0.028315412186379983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20</v>
      </c>
      <c r="F97" s="169">
        <v>0.53</v>
      </c>
      <c r="G97" s="49">
        <f t="shared" si="31"/>
        <v>-19.47</v>
      </c>
      <c r="H97" s="40"/>
      <c r="I97" s="56">
        <f t="shared" si="32"/>
        <v>-39.47</v>
      </c>
      <c r="J97" s="56"/>
      <c r="K97" s="56">
        <f>F97-40.5</f>
        <v>-39.97</v>
      </c>
      <c r="L97" s="135">
        <f>F97/40.5</f>
        <v>0.01308641975308642</v>
      </c>
      <c r="M97" s="40">
        <f>E97-жовтень!E97</f>
        <v>20</v>
      </c>
      <c r="N97" s="40">
        <f>F97-жовтень!F97</f>
        <v>0</v>
      </c>
      <c r="O97" s="53">
        <f t="shared" si="33"/>
        <v>-20</v>
      </c>
      <c r="P97" s="56"/>
      <c r="Q97" s="56">
        <f>N97-0.1</f>
        <v>-0.1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E98-жовтень!E98</f>
        <v>0</v>
      </c>
      <c r="N98" s="40">
        <f>F98-жовтень!F98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3667</v>
      </c>
      <c r="F99" s="169">
        <v>3522.6</v>
      </c>
      <c r="G99" s="49">
        <f t="shared" si="31"/>
        <v>-144.4000000000001</v>
      </c>
      <c r="H99" s="40">
        <f>F99/E99*100</f>
        <v>96.06217616580311</v>
      </c>
      <c r="I99" s="56">
        <f t="shared" si="32"/>
        <v>-1050.1</v>
      </c>
      <c r="J99" s="56">
        <f>F99/D99*100</f>
        <v>77.03544951560347</v>
      </c>
      <c r="K99" s="56">
        <f>F99-4178.8</f>
        <v>-656.2000000000003</v>
      </c>
      <c r="L99" s="135">
        <f>F99/4178.8</f>
        <v>0.8429692734756389</v>
      </c>
      <c r="M99" s="40">
        <f>E99-жовтень!E99</f>
        <v>330</v>
      </c>
      <c r="N99" s="40">
        <f>F99-жовтень!F99</f>
        <v>75.65999999999985</v>
      </c>
      <c r="O99" s="53">
        <f t="shared" si="33"/>
        <v>-254.34000000000015</v>
      </c>
      <c r="P99" s="56">
        <f>N99/M99*100</f>
        <v>22.927272727272683</v>
      </c>
      <c r="Q99" s="56">
        <f>N99-332.8</f>
        <v>-257.14000000000016</v>
      </c>
      <c r="R99" s="135">
        <f>N99/332.8</f>
        <v>0.22734374999999957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E100-жовтень!E100</f>
        <v>0</v>
      </c>
      <c r="N100" s="40">
        <f>F100-жовтень!F100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E101-жовтень!E101</f>
        <v>0</v>
      </c>
      <c r="N101" s="40">
        <f>F101-жовтень!F101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858.4</v>
      </c>
      <c r="G102" s="144"/>
      <c r="H102" s="146"/>
      <c r="I102" s="145"/>
      <c r="J102" s="145"/>
      <c r="K102" s="148">
        <f>F102-738.2</f>
        <v>120.19999999999993</v>
      </c>
      <c r="L102" s="149">
        <f>F102/738.2</f>
        <v>1.1628285017610402</v>
      </c>
      <c r="M102" s="40">
        <f>E102-жовтень!E102</f>
        <v>0</v>
      </c>
      <c r="N102" s="40">
        <f>F102-жовтень!F102</f>
        <v>19.100000000000023</v>
      </c>
      <c r="O102" s="53"/>
      <c r="P102" s="60"/>
      <c r="Q102" s="60">
        <f>N102-89.7</f>
        <v>-70.59999999999998</v>
      </c>
      <c r="R102" s="138">
        <f>N102/89.7</f>
        <v>0.21293199554069145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E103-жовтень!E103</f>
        <v>0</v>
      </c>
      <c r="N103" s="40">
        <f>F103-жовтень!F103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-43.79</v>
      </c>
      <c r="K104" s="56">
        <f>F104-63.9</f>
        <v>-50.62</v>
      </c>
      <c r="L104" s="135">
        <f>F104/63.9</f>
        <v>0.20782472613458527</v>
      </c>
      <c r="M104" s="40">
        <f>E104-жовтень!E104</f>
        <v>0</v>
      </c>
      <c r="N104" s="40">
        <f>F104-жовтень!F104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30.2</v>
      </c>
      <c r="F105" s="169">
        <v>21.71</v>
      </c>
      <c r="G105" s="49">
        <f>F105-E105</f>
        <v>-8.489999999999998</v>
      </c>
      <c r="H105" s="40">
        <f>F105/E105*100</f>
        <v>71.88741721854305</v>
      </c>
      <c r="I105" s="56">
        <f t="shared" si="34"/>
        <v>-23.29</v>
      </c>
      <c r="J105" s="56">
        <f aca="true" t="shared" si="36" ref="J105:J110">F105/D105*100</f>
        <v>48.24444444444445</v>
      </c>
      <c r="K105" s="56">
        <f>F105-35.8</f>
        <v>-14.089999999999996</v>
      </c>
      <c r="L105" s="135">
        <f>F105/35.8</f>
        <v>0.6064245810055867</v>
      </c>
      <c r="M105" s="40">
        <f>E105-жовтень!E105</f>
        <v>3</v>
      </c>
      <c r="N105" s="40">
        <f>F105-жовтень!F105</f>
        <v>0</v>
      </c>
      <c r="O105" s="53">
        <f t="shared" si="35"/>
        <v>-3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E106-жовтень!E106</f>
        <v>0</v>
      </c>
      <c r="N106" s="40">
        <f>F106-жовтень!F106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446565.23</v>
      </c>
      <c r="F107" s="22">
        <f>F8+F74+F105+F106</f>
        <v>401179.06000000006</v>
      </c>
      <c r="G107" s="175">
        <f>F107-E107</f>
        <v>-45386.169999999925</v>
      </c>
      <c r="H107" s="51">
        <f>F107/E107*100</f>
        <v>89.83660908844159</v>
      </c>
      <c r="I107" s="36">
        <f t="shared" si="34"/>
        <v>-105700.53999999992</v>
      </c>
      <c r="J107" s="36">
        <f t="shared" si="36"/>
        <v>79.14681514111045</v>
      </c>
      <c r="K107" s="36">
        <f>F107-438950.2</f>
        <v>-37771.139999999956</v>
      </c>
      <c r="L107" s="136">
        <f>F107/438950.2</f>
        <v>0.913951195374783</v>
      </c>
      <c r="M107" s="22">
        <f>M8+M74+M105+M106</f>
        <v>41837.89000000002</v>
      </c>
      <c r="N107" s="22">
        <f>N8+N74+N105+N106</f>
        <v>1608.8199999999765</v>
      </c>
      <c r="O107" s="55">
        <f t="shared" si="35"/>
        <v>-40229.07000000004</v>
      </c>
      <c r="P107" s="36">
        <f>N107/M107*100</f>
        <v>3.8453660067464583</v>
      </c>
      <c r="Q107" s="36">
        <f>N107-41056.6</f>
        <v>-39447.78000000002</v>
      </c>
      <c r="R107" s="136">
        <f>N107/41056.6</f>
        <v>0.03918541720454145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353022.5</v>
      </c>
      <c r="F108" s="71">
        <f>F10-F18+F96</f>
        <v>318317.76999999996</v>
      </c>
      <c r="G108" s="153">
        <f>G10-G18+G96</f>
        <v>-34704.73000000002</v>
      </c>
      <c r="H108" s="72">
        <f>F108/E108*100</f>
        <v>90.16925833339234</v>
      </c>
      <c r="I108" s="52">
        <f t="shared" si="34"/>
        <v>-69895.43000000005</v>
      </c>
      <c r="J108" s="52">
        <f t="shared" si="36"/>
        <v>81.99560705303168</v>
      </c>
      <c r="K108" s="52">
        <f>F108-335439.2</f>
        <v>-17121.43000000005</v>
      </c>
      <c r="L108" s="137">
        <f>F108/335439.2</f>
        <v>0.9489581718534982</v>
      </c>
      <c r="M108" s="71">
        <f>M10-M18+M96</f>
        <v>32411.900000000023</v>
      </c>
      <c r="N108" s="71">
        <f>N10-N18+N96</f>
        <v>1430.409999999979</v>
      </c>
      <c r="O108" s="53">
        <f t="shared" si="35"/>
        <v>-30981.490000000045</v>
      </c>
      <c r="P108" s="52">
        <f>N108/M108*100</f>
        <v>4.4132247723829146</v>
      </c>
      <c r="Q108" s="52">
        <f>N108-32327.7</f>
        <v>-30897.290000000023</v>
      </c>
      <c r="R108" s="137">
        <f>N108/32327.7</f>
        <v>0.04424719358321127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93542.72999999998</v>
      </c>
      <c r="F109" s="71">
        <f>F107-F108</f>
        <v>82861.2900000001</v>
      </c>
      <c r="G109" s="176">
        <f>F109-E109</f>
        <v>-10681.439999999886</v>
      </c>
      <c r="H109" s="72">
        <f>F109/E109*100</f>
        <v>88.58121844423411</v>
      </c>
      <c r="I109" s="52">
        <f t="shared" si="34"/>
        <v>-35805.10999999987</v>
      </c>
      <c r="J109" s="52">
        <f t="shared" si="36"/>
        <v>69.82708669008255</v>
      </c>
      <c r="K109" s="52">
        <f>F109-103511.1</f>
        <v>-20649.80999999991</v>
      </c>
      <c r="L109" s="137">
        <f>F109/103511.1</f>
        <v>0.8005063225103404</v>
      </c>
      <c r="M109" s="71">
        <f>M107-M108</f>
        <v>9425.989999999998</v>
      </c>
      <c r="N109" s="71">
        <f>N107-N108</f>
        <v>178.40999999999758</v>
      </c>
      <c r="O109" s="53">
        <f t="shared" si="35"/>
        <v>-9247.58</v>
      </c>
      <c r="P109" s="52">
        <f>N109/M109*100</f>
        <v>1.8927454834982598</v>
      </c>
      <c r="Q109" s="52">
        <f>N109-8729</f>
        <v>-8550.590000000002</v>
      </c>
      <c r="R109" s="137">
        <f>N109/8729</f>
        <v>0.020438767327299528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348682.6</v>
      </c>
      <c r="F110" s="71">
        <f>F108</f>
        <v>318317.76999999996</v>
      </c>
      <c r="G110" s="111">
        <f>F110-E110</f>
        <v>-30364.830000000016</v>
      </c>
      <c r="H110" s="72">
        <f>F110/E110*100</f>
        <v>91.29155570137425</v>
      </c>
      <c r="I110" s="81">
        <f t="shared" si="34"/>
        <v>-69895.43000000005</v>
      </c>
      <c r="J110" s="52">
        <f t="shared" si="36"/>
        <v>81.99560705303168</v>
      </c>
      <c r="K110" s="52"/>
      <c r="L110" s="137"/>
      <c r="M110" s="72">
        <f>E110-жовтень!E110</f>
        <v>33441.899999999965</v>
      </c>
      <c r="N110" s="71">
        <f>N108</f>
        <v>1430.409999999979</v>
      </c>
      <c r="O110" s="63">
        <f t="shared" si="35"/>
        <v>-32011.489999999987</v>
      </c>
      <c r="P110" s="52">
        <f>N110/M110*100</f>
        <v>4.277298837685599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295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F114-20.7</f>
        <v>-20.74</v>
      </c>
      <c r="L114" s="138">
        <f>F114/20.7</f>
        <v>-0.0019323671497584543</v>
      </c>
      <c r="M114" s="40">
        <f>E114-жовтень!E114</f>
        <v>0</v>
      </c>
      <c r="N114" s="40">
        <f>F114-жовтень!F114</f>
        <v>0</v>
      </c>
      <c r="O114" s="53"/>
      <c r="P114" s="60"/>
      <c r="Q114" s="60">
        <f>N114-(-0.8)</f>
        <v>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3334.4</v>
      </c>
      <c r="F115" s="174">
        <v>1344.29</v>
      </c>
      <c r="G115" s="49">
        <f t="shared" si="37"/>
        <v>-1990.1100000000001</v>
      </c>
      <c r="H115" s="40">
        <f aca="true" t="shared" si="39" ref="H115:H126">F115/E115*100</f>
        <v>40.315798944337814</v>
      </c>
      <c r="I115" s="60">
        <f t="shared" si="38"/>
        <v>-2327.21</v>
      </c>
      <c r="J115" s="60">
        <f aca="true" t="shared" si="40" ref="J115:J121">F115/D115*100</f>
        <v>36.614190385401066</v>
      </c>
      <c r="K115" s="60">
        <f>F115-3211.4</f>
        <v>-1867.1100000000001</v>
      </c>
      <c r="L115" s="138">
        <f>F115/3211.4</f>
        <v>0.41859936476303167</v>
      </c>
      <c r="M115" s="40">
        <f>E115-жовтень!E115</f>
        <v>327.4000000000001</v>
      </c>
      <c r="N115" s="40">
        <f>F115-жовтень!F115</f>
        <v>25.74000000000001</v>
      </c>
      <c r="O115" s="53">
        <f aca="true" t="shared" si="41" ref="O115:O126">N115-M115</f>
        <v>-301.6600000000001</v>
      </c>
      <c r="P115" s="60">
        <f>N115/M115*100</f>
        <v>7.861942577886379</v>
      </c>
      <c r="Q115" s="60">
        <f>N115-83.3</f>
        <v>-57.55999999999999</v>
      </c>
      <c r="R115" s="138">
        <f>N115/83.3</f>
        <v>0.30900360144057637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244.5</v>
      </c>
      <c r="F116" s="172">
        <v>264.23</v>
      </c>
      <c r="G116" s="49">
        <f t="shared" si="37"/>
        <v>19.730000000000018</v>
      </c>
      <c r="H116" s="40">
        <f t="shared" si="39"/>
        <v>108.06952965235175</v>
      </c>
      <c r="I116" s="60">
        <f t="shared" si="38"/>
        <v>-3.8700000000000045</v>
      </c>
      <c r="J116" s="60">
        <f t="shared" si="40"/>
        <v>98.55650876538606</v>
      </c>
      <c r="K116" s="60">
        <f>F116-245.6</f>
        <v>18.630000000000024</v>
      </c>
      <c r="L116" s="138">
        <f>F116/245.6</f>
        <v>1.075855048859935</v>
      </c>
      <c r="M116" s="40">
        <f>E116-жовтень!E116</f>
        <v>22</v>
      </c>
      <c r="N116" s="40">
        <f>F116-жовтень!F116</f>
        <v>0.9800000000000182</v>
      </c>
      <c r="O116" s="53">
        <f t="shared" si="41"/>
        <v>-21.019999999999982</v>
      </c>
      <c r="P116" s="60">
        <f>N116/M116*100</f>
        <v>4.454545454545538</v>
      </c>
      <c r="Q116" s="60">
        <f>N116-24.1</f>
        <v>-23.119999999999983</v>
      </c>
      <c r="R116" s="138">
        <f>N116/24.1</f>
        <v>0.04066390041493851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3578.9</v>
      </c>
      <c r="F117" s="173">
        <f>SUM(F114:F116)</f>
        <v>1608.48</v>
      </c>
      <c r="G117" s="62">
        <f t="shared" si="37"/>
        <v>-1970.42</v>
      </c>
      <c r="H117" s="72">
        <f t="shared" si="39"/>
        <v>44.94341836877253</v>
      </c>
      <c r="I117" s="61">
        <f t="shared" si="38"/>
        <v>-2331.12</v>
      </c>
      <c r="J117" s="61">
        <f t="shared" si="40"/>
        <v>40.828510508681084</v>
      </c>
      <c r="K117" s="61">
        <f>F117-3477.6</f>
        <v>-1869.12</v>
      </c>
      <c r="L117" s="139">
        <f>F117/3477.6</f>
        <v>0.4625258799171843</v>
      </c>
      <c r="M117" s="62">
        <f>M115+M116+M114</f>
        <v>349.4000000000001</v>
      </c>
      <c r="N117" s="38">
        <f>SUM(N114:N116)</f>
        <v>26.720000000000027</v>
      </c>
      <c r="O117" s="61">
        <f t="shared" si="41"/>
        <v>-322.68000000000006</v>
      </c>
      <c r="P117" s="61">
        <f>N117/M117*100</f>
        <v>7.647395535203211</v>
      </c>
      <c r="Q117" s="61">
        <f>N117-106.6</f>
        <v>-79.87999999999997</v>
      </c>
      <c r="R117" s="139">
        <f>N117/106.6</f>
        <v>0.25065666041275825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438.37</v>
      </c>
      <c r="G119" s="49">
        <f t="shared" si="37"/>
        <v>177.87</v>
      </c>
      <c r="H119" s="40">
        <f t="shared" si="39"/>
        <v>168.28023032629557</v>
      </c>
      <c r="I119" s="60">
        <f t="shared" si="38"/>
        <v>171.17000000000002</v>
      </c>
      <c r="J119" s="60">
        <f t="shared" si="40"/>
        <v>164.06062874251498</v>
      </c>
      <c r="K119" s="60">
        <f>F119-237.7</f>
        <v>200.67000000000002</v>
      </c>
      <c r="L119" s="138">
        <f>F119/237.7</f>
        <v>1.8442153975599496</v>
      </c>
      <c r="M119" s="40">
        <f>E119-жовтень!E119</f>
        <v>0</v>
      </c>
      <c r="N119" s="40">
        <f>F119-жовтень!F119</f>
        <v>1.3700000000000045</v>
      </c>
      <c r="O119" s="53">
        <f>N119-M119</f>
        <v>1.3700000000000045</v>
      </c>
      <c r="P119" s="60" t="e">
        <f>N119/M119*100</f>
        <v>#DIV/0!</v>
      </c>
      <c r="Q119" s="60">
        <f>N119-3.5</f>
        <v>-2.1299999999999955</v>
      </c>
      <c r="R119" s="138">
        <f>N119/3.5</f>
        <v>0.39142857142857274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68712.6</v>
      </c>
      <c r="F120" s="174">
        <v>69019.32</v>
      </c>
      <c r="G120" s="49">
        <f t="shared" si="37"/>
        <v>306.72000000000116</v>
      </c>
      <c r="H120" s="40">
        <f t="shared" si="39"/>
        <v>100.44638101308931</v>
      </c>
      <c r="I120" s="53">
        <f t="shared" si="38"/>
        <v>-2956.6699999999983</v>
      </c>
      <c r="J120" s="60">
        <f t="shared" si="40"/>
        <v>95.89214403303102</v>
      </c>
      <c r="K120" s="60">
        <f>F120-66794.9</f>
        <v>2224.420000000013</v>
      </c>
      <c r="L120" s="138">
        <f>F120/66794.9</f>
        <v>1.0333022431353294</v>
      </c>
      <c r="M120" s="40">
        <f>E120-жовтень!E120</f>
        <v>8700.000000000007</v>
      </c>
      <c r="N120" s="40">
        <f>F120-жовтень!F120</f>
        <v>1162.0400000000081</v>
      </c>
      <c r="O120" s="53">
        <f t="shared" si="41"/>
        <v>-7537.959999999999</v>
      </c>
      <c r="P120" s="60">
        <f aca="true" t="shared" si="42" ref="P120:P125">N120/M120*100</f>
        <v>13.356781609195483</v>
      </c>
      <c r="Q120" s="60">
        <f>N120-8604.8</f>
        <v>-7442.759999999991</v>
      </c>
      <c r="R120" s="138">
        <f>N120/8604.8</f>
        <v>0.13504555596876258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3361.19</v>
      </c>
      <c r="F121" s="174">
        <v>1754.79</v>
      </c>
      <c r="G121" s="49">
        <f t="shared" si="37"/>
        <v>-1606.4</v>
      </c>
      <c r="H121" s="40">
        <f t="shared" si="39"/>
        <v>52.20740273534076</v>
      </c>
      <c r="I121" s="60">
        <f t="shared" si="38"/>
        <v>-2995.21</v>
      </c>
      <c r="J121" s="60">
        <f t="shared" si="40"/>
        <v>36.94294736842105</v>
      </c>
      <c r="K121" s="60">
        <f>F121-1790.1</f>
        <v>-35.309999999999945</v>
      </c>
      <c r="L121" s="138">
        <f>F121/1790.1</f>
        <v>0.9802748449807274</v>
      </c>
      <c r="M121" s="40">
        <f>E121-жовтень!E121</f>
        <v>161.78999999999996</v>
      </c>
      <c r="N121" s="40">
        <f>F121-жовтень!F121</f>
        <v>0</v>
      </c>
      <c r="O121" s="53">
        <f t="shared" si="41"/>
        <v>-161.78999999999996</v>
      </c>
      <c r="P121" s="60">
        <f t="shared" si="42"/>
        <v>0</v>
      </c>
      <c r="Q121" s="60">
        <f>N121-500.5</f>
        <v>-500.5</v>
      </c>
      <c r="R121" s="138">
        <f>N121/500.5</f>
        <v>0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20309.73</v>
      </c>
      <c r="F122" s="174">
        <v>2766.76</v>
      </c>
      <c r="G122" s="49">
        <f t="shared" si="37"/>
        <v>-17542.97</v>
      </c>
      <c r="H122" s="40">
        <f t="shared" si="39"/>
        <v>13.622830042546111</v>
      </c>
      <c r="I122" s="60">
        <f t="shared" si="38"/>
        <v>-20310.370000000003</v>
      </c>
      <c r="J122" s="60">
        <f>F122/D122*100</f>
        <v>11.98918583030039</v>
      </c>
      <c r="K122" s="60">
        <f>F122-23492</f>
        <v>-20725.239999999998</v>
      </c>
      <c r="L122" s="138">
        <f>F122/23492</f>
        <v>0.11777456155286907</v>
      </c>
      <c r="M122" s="40">
        <f>E122-жовтень!E122</f>
        <v>2733.5</v>
      </c>
      <c r="N122" s="40">
        <f>F122-жовтень!F122</f>
        <v>4.660000000000309</v>
      </c>
      <c r="O122" s="53">
        <f t="shared" si="41"/>
        <v>-2728.8399999999997</v>
      </c>
      <c r="P122" s="60">
        <f t="shared" si="42"/>
        <v>0.17047740991404095</v>
      </c>
      <c r="Q122" s="60">
        <f>N122-826.2</f>
        <v>-821.5399999999997</v>
      </c>
      <c r="R122" s="138">
        <f>N122/826.2</f>
        <v>0.00564028080367987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1810.4</v>
      </c>
      <c r="F123" s="174">
        <v>1234.02</v>
      </c>
      <c r="G123" s="49">
        <f t="shared" si="37"/>
        <v>-576.3800000000001</v>
      </c>
      <c r="H123" s="40">
        <f t="shared" si="39"/>
        <v>68.16283694211224</v>
      </c>
      <c r="I123" s="60">
        <f t="shared" si="38"/>
        <v>-765.98</v>
      </c>
      <c r="J123" s="60">
        <f>F123/D123*100</f>
        <v>61.70099999999999</v>
      </c>
      <c r="K123" s="60">
        <f>F123-1731.9</f>
        <v>-497.8800000000001</v>
      </c>
      <c r="L123" s="138">
        <f>F123/1731.9</f>
        <v>0.7125238177723887</v>
      </c>
      <c r="M123" s="40">
        <f>E123-жовтень!E123</f>
        <v>189.59000000000015</v>
      </c>
      <c r="N123" s="40">
        <f>F123-жовтень!F123</f>
        <v>100</v>
      </c>
      <c r="O123" s="53">
        <f t="shared" si="41"/>
        <v>-89.59000000000015</v>
      </c>
      <c r="P123" s="60">
        <f t="shared" si="42"/>
        <v>52.745397964027596</v>
      </c>
      <c r="Q123" s="60">
        <f>N123-9.2</f>
        <v>90.8</v>
      </c>
      <c r="R123" s="138">
        <f>N123/9.2</f>
        <v>10.869565217391305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94454.42</v>
      </c>
      <c r="F124" s="173">
        <f>F120+F121+F122+F123+F119</f>
        <v>75213.26</v>
      </c>
      <c r="G124" s="62">
        <f t="shared" si="37"/>
        <v>-19241.160000000003</v>
      </c>
      <c r="H124" s="72">
        <f t="shared" si="39"/>
        <v>79.62915869897883</v>
      </c>
      <c r="I124" s="61">
        <f t="shared" si="38"/>
        <v>-26857.060000000012</v>
      </c>
      <c r="J124" s="61">
        <f>F124/D124*100</f>
        <v>73.68768903634277</v>
      </c>
      <c r="K124" s="61">
        <f>F124-94046.5</f>
        <v>-18833.240000000005</v>
      </c>
      <c r="L124" s="139">
        <f>F124/94046.5</f>
        <v>0.7997454450723843</v>
      </c>
      <c r="M124" s="62">
        <f>M120+M121+M122+M123+M119</f>
        <v>11784.880000000008</v>
      </c>
      <c r="N124" s="62">
        <f>N120+N121+N122+N123+N119</f>
        <v>1268.0700000000083</v>
      </c>
      <c r="O124" s="61">
        <f t="shared" si="41"/>
        <v>-10516.81</v>
      </c>
      <c r="P124" s="61">
        <f t="shared" si="42"/>
        <v>10.760143505916119</v>
      </c>
      <c r="Q124" s="61">
        <f>N124-9944.1</f>
        <v>-8676.029999999992</v>
      </c>
      <c r="R124" s="139">
        <f>N124/9944.1</f>
        <v>0.12751983588258448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35.16</v>
      </c>
      <c r="F125" s="174">
        <v>35.01</v>
      </c>
      <c r="G125" s="49">
        <f t="shared" si="37"/>
        <v>-0.14999999999999858</v>
      </c>
      <c r="H125" s="40">
        <f t="shared" si="39"/>
        <v>99.57337883959045</v>
      </c>
      <c r="I125" s="60">
        <f t="shared" si="38"/>
        <v>-8.490000000000002</v>
      </c>
      <c r="J125" s="60">
        <f>F125/D125*100</f>
        <v>80.48275862068965</v>
      </c>
      <c r="K125" s="60">
        <f>F125-114.2</f>
        <v>-79.19</v>
      </c>
      <c r="L125" s="138">
        <f>F125/114.2</f>
        <v>0.3065674255691769</v>
      </c>
      <c r="M125" s="40">
        <f>E125-вересень!E125</f>
        <v>7.9999999999999964</v>
      </c>
      <c r="N125" s="40">
        <f>F125-вересень!F125</f>
        <v>10.839999999999996</v>
      </c>
      <c r="O125" s="53">
        <f t="shared" si="41"/>
        <v>2.84</v>
      </c>
      <c r="P125" s="60">
        <f t="shared" si="42"/>
        <v>135.50000000000003</v>
      </c>
      <c r="Q125" s="60">
        <f>N125-0.2</f>
        <v>10.639999999999997</v>
      </c>
      <c r="R125" s="138">
        <f>N125/0.2</f>
        <v>54.19999999999998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F127-17.9</f>
        <v>1.5800000000000018</v>
      </c>
      <c r="L127" s="138">
        <f>F127/17.9</f>
        <v>1.088268156424581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N127-0.7</f>
        <v>-0.7</v>
      </c>
      <c r="R127" s="162">
        <f>N127/0.7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8699</v>
      </c>
      <c r="F128" s="174">
        <v>7380.15</v>
      </c>
      <c r="G128" s="49">
        <f aca="true" t="shared" si="43" ref="G128:G135">F128-E128</f>
        <v>-1318.8500000000004</v>
      </c>
      <c r="H128" s="40">
        <f>F128/E128*100</f>
        <v>84.83906196114496</v>
      </c>
      <c r="I128" s="60">
        <f aca="true" t="shared" si="44" ref="I128:I135">F128-D128</f>
        <v>-1319.8500000000004</v>
      </c>
      <c r="J128" s="60">
        <f>F128/D128*100</f>
        <v>84.82931034482758</v>
      </c>
      <c r="K128" s="60">
        <f>F128-10826.4</f>
        <v>-3446.25</v>
      </c>
      <c r="L128" s="138">
        <f>F128/10826.4</f>
        <v>0.6816808911549546</v>
      </c>
      <c r="M128" s="40">
        <f>E128-вересень!E128</f>
        <v>1980.5</v>
      </c>
      <c r="N128" s="40">
        <f>F128-вересень!F128</f>
        <v>11.269999999999527</v>
      </c>
      <c r="O128" s="53">
        <f aca="true" t="shared" si="45" ref="O128:O135">N128-M128</f>
        <v>-1969.2300000000005</v>
      </c>
      <c r="P128" s="60">
        <f>N128/M128*100</f>
        <v>0.5690482201464038</v>
      </c>
      <c r="Q128" s="60">
        <f>N128-2097.7</f>
        <v>-2086.4300000000003</v>
      </c>
      <c r="R128" s="162">
        <f>N128/2097.7</f>
        <v>0.0053725508890687555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1.29</v>
      </c>
      <c r="G129" s="49">
        <f t="shared" si="43"/>
        <v>1.29</v>
      </c>
      <c r="H129" s="40"/>
      <c r="I129" s="60">
        <f t="shared" si="44"/>
        <v>1.29</v>
      </c>
      <c r="J129" s="60"/>
      <c r="K129" s="60">
        <f>F129-0.8</f>
        <v>0.49</v>
      </c>
      <c r="L129" s="138">
        <f>F129/0.8</f>
        <v>1.6125</v>
      </c>
      <c r="M129" s="40">
        <f>E129-вересень!E129</f>
        <v>0</v>
      </c>
      <c r="N129" s="40">
        <f>F129-вересень!F129</f>
        <v>0.20999999999999996</v>
      </c>
      <c r="O129" s="53">
        <f t="shared" si="45"/>
        <v>0.20999999999999996</v>
      </c>
      <c r="P129" s="60"/>
      <c r="Q129" s="60">
        <f>N129-(-0.3)</f>
        <v>0.51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8741.36</v>
      </c>
      <c r="F130" s="173">
        <f>F128+F125+F129+F127</f>
        <v>7435.929999999999</v>
      </c>
      <c r="G130" s="62">
        <f t="shared" si="43"/>
        <v>-1305.4300000000012</v>
      </c>
      <c r="H130" s="72">
        <f>F130/E130*100</f>
        <v>85.06605379483283</v>
      </c>
      <c r="I130" s="61">
        <f t="shared" si="44"/>
        <v>-1314.7700000000013</v>
      </c>
      <c r="J130" s="61">
        <f>F130/D130*100</f>
        <v>84.97525912212735</v>
      </c>
      <c r="K130" s="61">
        <f>F130-10959.2</f>
        <v>-3523.2700000000013</v>
      </c>
      <c r="L130" s="139">
        <f>G130/10959.2</f>
        <v>-0.1191172713336741</v>
      </c>
      <c r="M130" s="62">
        <f>M125+M128+M129+M127</f>
        <v>1988.5</v>
      </c>
      <c r="N130" s="62">
        <f>N125+N128+N129+N127</f>
        <v>22.319999999999524</v>
      </c>
      <c r="O130" s="61">
        <f t="shared" si="45"/>
        <v>-1966.1800000000005</v>
      </c>
      <c r="P130" s="61">
        <f>N130/M130*100</f>
        <v>1.1224541111390256</v>
      </c>
      <c r="Q130" s="61">
        <f>N130-2098.3</f>
        <v>-2075.9800000000005</v>
      </c>
      <c r="R130" s="137">
        <f>N130/2098.3</f>
        <v>0.010637182481055866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24.25</v>
      </c>
      <c r="F131" s="174">
        <v>33.03</v>
      </c>
      <c r="G131" s="49">
        <f>F131-E131</f>
        <v>8.780000000000001</v>
      </c>
      <c r="H131" s="40">
        <f>F131/E131*100</f>
        <v>136.20618556701032</v>
      </c>
      <c r="I131" s="60">
        <f>F131-D131</f>
        <v>3.030000000000001</v>
      </c>
      <c r="J131" s="60">
        <f>F131/D131*100</f>
        <v>110.1</v>
      </c>
      <c r="K131" s="60">
        <f>F131-28.2</f>
        <v>4.830000000000002</v>
      </c>
      <c r="L131" s="138">
        <f>F131/28.2</f>
        <v>1.171276595744681</v>
      </c>
      <c r="M131" s="40">
        <f>E131-вересень!E131</f>
        <v>0.8000000000000007</v>
      </c>
      <c r="N131" s="40">
        <f>F131-вересень!F131</f>
        <v>1.1700000000000017</v>
      </c>
      <c r="O131" s="53">
        <f>N131-M131</f>
        <v>0.370000000000001</v>
      </c>
      <c r="P131" s="60">
        <f>N131/M131*100</f>
        <v>146.25000000000009</v>
      </c>
      <c r="Q131" s="60">
        <f>N131-0.2</f>
        <v>0.9700000000000017</v>
      </c>
      <c r="R131" s="138">
        <f>N131/0.2</f>
        <v>5.8500000000000085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106798.93</v>
      </c>
      <c r="F134" s="31">
        <f>F117+F131+F124+F130+F133+F132</f>
        <v>84290.69999999998</v>
      </c>
      <c r="G134" s="50">
        <f t="shared" si="43"/>
        <v>-22508.23000000001</v>
      </c>
      <c r="H134" s="51">
        <f>F134/E134*100</f>
        <v>78.92466712915568</v>
      </c>
      <c r="I134" s="36">
        <f t="shared" si="44"/>
        <v>-30499.920000000027</v>
      </c>
      <c r="J134" s="36">
        <f>F134/D134*100</f>
        <v>73.42995446840514</v>
      </c>
      <c r="K134" s="36">
        <f>F134-108511.5</f>
        <v>-24220.800000000017</v>
      </c>
      <c r="L134" s="136">
        <f>F134/108511.5</f>
        <v>0.7767904784285535</v>
      </c>
      <c r="M134" s="31">
        <f>M117+M131+M124+M130+M133+M132</f>
        <v>14123.580000000009</v>
      </c>
      <c r="N134" s="31">
        <f>N117+N131+N124+N130+N133+N132</f>
        <v>1318.280000000008</v>
      </c>
      <c r="O134" s="36">
        <f t="shared" si="45"/>
        <v>-12805.300000000001</v>
      </c>
      <c r="P134" s="36">
        <f>N134/M134*100</f>
        <v>9.33389409767217</v>
      </c>
      <c r="Q134" s="36">
        <f>N134-12149.2</f>
        <v>-10830.919999999993</v>
      </c>
      <c r="R134" s="136">
        <f>N134/12149.2</f>
        <v>0.1085075560530741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553364.1599999999</v>
      </c>
      <c r="F135" s="31">
        <f>F107+F134</f>
        <v>485469.76</v>
      </c>
      <c r="G135" s="50">
        <f t="shared" si="43"/>
        <v>-67894.3999999999</v>
      </c>
      <c r="H135" s="51">
        <f>F135/E135*100</f>
        <v>87.7306112488384</v>
      </c>
      <c r="I135" s="36">
        <f t="shared" si="44"/>
        <v>-136200.45999999996</v>
      </c>
      <c r="J135" s="36">
        <f>F135/D135*100</f>
        <v>78.09120404705891</v>
      </c>
      <c r="K135" s="36">
        <f>F135-547461.7</f>
        <v>-61991.939999999944</v>
      </c>
      <c r="L135" s="136">
        <f>F135/547461.7</f>
        <v>0.8867647910346972</v>
      </c>
      <c r="M135" s="22">
        <f>M107+M134</f>
        <v>55961.47000000003</v>
      </c>
      <c r="N135" s="22">
        <f>N107+N134</f>
        <v>2927.0999999999844</v>
      </c>
      <c r="O135" s="36">
        <f t="shared" si="45"/>
        <v>-53034.370000000046</v>
      </c>
      <c r="P135" s="36">
        <f>N135/M135*100</f>
        <v>5.2305630999328345</v>
      </c>
      <c r="Q135" s="36">
        <f>N135-53205.8</f>
        <v>-50278.70000000002</v>
      </c>
      <c r="R135" s="136">
        <f>N135/53205.8</f>
        <v>0.05501467885080168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18</v>
      </c>
      <c r="D137" s="4" t="s">
        <v>118</v>
      </c>
    </row>
    <row r="138" spans="2:17" ht="31.5">
      <c r="B138" s="78" t="s">
        <v>154</v>
      </c>
      <c r="C138" s="39">
        <f>IF(O107&lt;0,ABS(O107/C137),0)</f>
        <v>2234.9483333333355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41946</v>
      </c>
      <c r="D139" s="39">
        <v>979</v>
      </c>
      <c r="N139" s="194"/>
      <c r="O139" s="194"/>
    </row>
    <row r="140" spans="3:15" ht="15.75">
      <c r="C140" s="120">
        <v>41946</v>
      </c>
      <c r="D140" s="39">
        <v>629.8</v>
      </c>
      <c r="F140" s="4" t="s">
        <v>166</v>
      </c>
      <c r="G140" s="190" t="s">
        <v>151</v>
      </c>
      <c r="H140" s="190"/>
      <c r="I140" s="115">
        <v>9020.59653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41943</v>
      </c>
      <c r="D141" s="39">
        <v>3346.7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117793.18409000001</v>
      </c>
      <c r="E143" s="80"/>
      <c r="F143" s="100" t="s">
        <v>147</v>
      </c>
      <c r="G143" s="190" t="s">
        <v>149</v>
      </c>
      <c r="H143" s="190"/>
      <c r="I143" s="116">
        <v>108772.58756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15285.838639999998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9" right="0.18" top="0.27" bottom="0.36" header="0.17" footer="0.29"/>
  <pageSetup fitToHeight="1" fitToWidth="1" horizontalDpi="600" verticalDpi="6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210" t="s">
        <v>193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187</v>
      </c>
      <c r="E3" s="46"/>
      <c r="F3" s="230" t="s">
        <v>107</v>
      </c>
      <c r="G3" s="231"/>
      <c r="H3" s="231"/>
      <c r="I3" s="231"/>
      <c r="J3" s="232"/>
      <c r="K3" s="123"/>
      <c r="L3" s="123"/>
      <c r="M3" s="233" t="s">
        <v>190</v>
      </c>
      <c r="N3" s="224" t="s">
        <v>185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191</v>
      </c>
      <c r="F4" s="225" t="s">
        <v>116</v>
      </c>
      <c r="G4" s="227" t="s">
        <v>167</v>
      </c>
      <c r="H4" s="206" t="s">
        <v>168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3"/>
      <c r="N4" s="200" t="s">
        <v>194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184</v>
      </c>
      <c r="L5" s="198"/>
      <c r="M5" s="233"/>
      <c r="N5" s="201"/>
      <c r="O5" s="223"/>
      <c r="P5" s="224"/>
      <c r="Q5" s="197" t="s">
        <v>199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4"/>
      <c r="O138" s="194"/>
    </row>
    <row r="139" spans="3:15" ht="15.75">
      <c r="C139" s="120">
        <v>41697</v>
      </c>
      <c r="D139" s="39">
        <v>2276.8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41696</v>
      </c>
      <c r="D140" s="39">
        <v>3746.1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f>'[1]залишки  (2)'!$G$8/1000</f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121970.53</v>
      </c>
      <c r="E142" s="80"/>
      <c r="F142" s="100" t="s">
        <v>147</v>
      </c>
      <c r="G142" s="190" t="s">
        <v>149</v>
      </c>
      <c r="H142" s="190"/>
      <c r="I142" s="116">
        <v>108145.31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210" t="s">
        <v>183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192</v>
      </c>
      <c r="E3" s="46"/>
      <c r="F3" s="230" t="s">
        <v>107</v>
      </c>
      <c r="G3" s="231"/>
      <c r="H3" s="231"/>
      <c r="I3" s="231"/>
      <c r="J3" s="232"/>
      <c r="K3" s="123"/>
      <c r="L3" s="123"/>
      <c r="M3" s="208" t="s">
        <v>200</v>
      </c>
      <c r="N3" s="224" t="s">
        <v>178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153</v>
      </c>
      <c r="F4" s="225" t="s">
        <v>116</v>
      </c>
      <c r="G4" s="227" t="s">
        <v>175</v>
      </c>
      <c r="H4" s="206" t="s">
        <v>176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6"/>
      <c r="N4" s="200" t="s">
        <v>186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177</v>
      </c>
      <c r="L5" s="198"/>
      <c r="M5" s="209"/>
      <c r="N5" s="201"/>
      <c r="O5" s="223"/>
      <c r="P5" s="224"/>
      <c r="Q5" s="197" t="s">
        <v>179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4"/>
      <c r="O138" s="194"/>
    </row>
    <row r="139" spans="3:15" ht="15.75">
      <c r="C139" s="120">
        <v>41669</v>
      </c>
      <c r="D139" s="39">
        <v>4752.2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41668</v>
      </c>
      <c r="D140" s="39">
        <v>1984.7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111410.62</v>
      </c>
      <c r="E142" s="80"/>
      <c r="F142" s="100" t="s">
        <v>147</v>
      </c>
      <c r="G142" s="190" t="s">
        <v>149</v>
      </c>
      <c r="H142" s="190"/>
      <c r="I142" s="116">
        <v>97585.4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A1">
      <pane xSplit="3" ySplit="9" topLeftCell="D1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146" sqref="J146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288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282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279</v>
      </c>
      <c r="H4" s="206" t="s">
        <v>280</v>
      </c>
      <c r="I4" s="202" t="s">
        <v>188</v>
      </c>
      <c r="J4" s="208" t="s">
        <v>189</v>
      </c>
      <c r="K4" s="195" t="s">
        <v>285</v>
      </c>
      <c r="L4" s="196"/>
      <c r="M4" s="216"/>
      <c r="N4" s="200" t="s">
        <v>289</v>
      </c>
      <c r="O4" s="202" t="s">
        <v>136</v>
      </c>
      <c r="P4" s="202" t="s">
        <v>135</v>
      </c>
      <c r="Q4" s="195" t="s">
        <v>287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278</v>
      </c>
      <c r="F5" s="219"/>
      <c r="G5" s="205"/>
      <c r="H5" s="207"/>
      <c r="I5" s="203"/>
      <c r="J5" s="209"/>
      <c r="K5" s="197"/>
      <c r="L5" s="198"/>
      <c r="M5" s="151" t="s">
        <v>281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388759.25</v>
      </c>
      <c r="G8" s="22">
        <f aca="true" t="shared" si="0" ref="G8:G30">F8-E8</f>
        <v>-2244.3899999998976</v>
      </c>
      <c r="H8" s="51">
        <f>F8/E8*100</f>
        <v>99.42599255597725</v>
      </c>
      <c r="I8" s="36">
        <f aca="true" t="shared" si="1" ref="I8:I17">F8-D8</f>
        <v>-99717.04999999999</v>
      </c>
      <c r="J8" s="36">
        <f aca="true" t="shared" si="2" ref="J8:J14">F8/D8*100</f>
        <v>79.58610274439108</v>
      </c>
      <c r="K8" s="36">
        <f>F8-381548.5</f>
        <v>7210.75</v>
      </c>
      <c r="L8" s="136">
        <f>F8/381548.5</f>
        <v>1.0188986459126428</v>
      </c>
      <c r="M8" s="22">
        <f>M10+M19+M33+M56+M68+M30</f>
        <v>39644.799999999974</v>
      </c>
      <c r="N8" s="22">
        <f>N10+N19+N33+N56+N68+N30</f>
        <v>40469.20000000001</v>
      </c>
      <c r="O8" s="36">
        <f aca="true" t="shared" si="3" ref="O8:O71">N8-M8</f>
        <v>824.4000000000378</v>
      </c>
      <c r="P8" s="36">
        <f>F8/M8*100</f>
        <v>980.6059054403105</v>
      </c>
      <c r="Q8" s="36">
        <f>N8-37261.3</f>
        <v>3207.9000000000087</v>
      </c>
      <c r="R8" s="134">
        <f>N8/37261.3</f>
        <v>1.0860920043047346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316022.19</v>
      </c>
      <c r="G9" s="22">
        <f t="shared" si="0"/>
        <v>316022.19</v>
      </c>
      <c r="H9" s="20"/>
      <c r="I9" s="56">
        <f t="shared" si="1"/>
        <v>-70991.01000000001</v>
      </c>
      <c r="J9" s="56">
        <f t="shared" si="2"/>
        <v>81.65669543054346</v>
      </c>
      <c r="K9" s="56"/>
      <c r="L9" s="135"/>
      <c r="M9" s="20">
        <f>M10+M17</f>
        <v>32246.599999999977</v>
      </c>
      <c r="N9" s="20">
        <f>N10+N17</f>
        <v>33408.51000000001</v>
      </c>
      <c r="O9" s="36">
        <f t="shared" si="3"/>
        <v>1161.9100000000326</v>
      </c>
      <c r="P9" s="56">
        <f>F9/M9*100</f>
        <v>980.0170870727463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316022.19</v>
      </c>
      <c r="G10" s="49">
        <f t="shared" si="0"/>
        <v>-3683.9099999999744</v>
      </c>
      <c r="H10" s="40">
        <f aca="true" t="shared" si="4" ref="H10:H17">F10/E10*100</f>
        <v>98.84771982767924</v>
      </c>
      <c r="I10" s="56">
        <f t="shared" si="1"/>
        <v>-70991.01000000001</v>
      </c>
      <c r="J10" s="56">
        <f t="shared" si="2"/>
        <v>81.65669543054346</v>
      </c>
      <c r="K10" s="141">
        <f>F10-302092.5</f>
        <v>13929.690000000002</v>
      </c>
      <c r="L10" s="142">
        <f>F10/302092.5</f>
        <v>1.046110678020805</v>
      </c>
      <c r="M10" s="40">
        <f>E10-вересень!E10</f>
        <v>32246.599999999977</v>
      </c>
      <c r="N10" s="40">
        <f>F10-вересень!F10</f>
        <v>33408.51000000001</v>
      </c>
      <c r="O10" s="53">
        <f t="shared" si="3"/>
        <v>1161.9100000000326</v>
      </c>
      <c r="P10" s="56">
        <f aca="true" t="shared" si="5" ref="P10:P17">N10/M10*100</f>
        <v>103.60320157784086</v>
      </c>
      <c r="Q10" s="141">
        <f>N10-29418.1</f>
        <v>3990.4100000000108</v>
      </c>
      <c r="R10" s="142">
        <f>N10/29418.1</f>
        <v>1.1356447221268542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-880.89</v>
      </c>
      <c r="G19" s="49">
        <f t="shared" si="0"/>
        <v>-1948.4899999999998</v>
      </c>
      <c r="H19" s="40">
        <f aca="true" t="shared" si="6" ref="H19:H29">F19/E19*100</f>
        <v>-82.51124016485576</v>
      </c>
      <c r="I19" s="56">
        <f aca="true" t="shared" si="7" ref="I19:I29">F19-D19</f>
        <v>-1880.8899999999999</v>
      </c>
      <c r="J19" s="56">
        <f aca="true" t="shared" si="8" ref="J19:J29">F19/D19*100</f>
        <v>-88.089</v>
      </c>
      <c r="K19" s="167">
        <f>F19-6843.6</f>
        <v>-7724.490000000001</v>
      </c>
      <c r="L19" s="168">
        <f>F19/6843.6</f>
        <v>-0.12871734174995617</v>
      </c>
      <c r="M19" s="40">
        <f>E19-вересень!E19</f>
        <v>11</v>
      </c>
      <c r="N19" s="40">
        <f>F19-вересень!F19</f>
        <v>-476.41999999999996</v>
      </c>
      <c r="O19" s="53">
        <f t="shared" si="3"/>
        <v>-487.41999999999996</v>
      </c>
      <c r="P19" s="56">
        <f aca="true" t="shared" si="9" ref="P19:P29">N19/M19*100</f>
        <v>-4331.090909090908</v>
      </c>
      <c r="Q19" s="56">
        <f>N19-364.5</f>
        <v>-840.92</v>
      </c>
      <c r="R19" s="135">
        <f>N19/364.5</f>
        <v>-1.3070507544581618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-381.9</v>
      </c>
      <c r="G29" s="49">
        <f t="shared" si="0"/>
        <v>-1189.5</v>
      </c>
      <c r="H29" s="40">
        <f t="shared" si="6"/>
        <v>-47.28826151560178</v>
      </c>
      <c r="I29" s="56">
        <f t="shared" si="7"/>
        <v>-1311.9</v>
      </c>
      <c r="J29" s="56">
        <f t="shared" si="8"/>
        <v>-41.064516129032256</v>
      </c>
      <c r="K29" s="148">
        <f>F29-2915.3</f>
        <v>-3297.2000000000003</v>
      </c>
      <c r="L29" s="149">
        <f>F29/2915.3</f>
        <v>-0.13099852502315368</v>
      </c>
      <c r="M29" s="40">
        <f>E29-вересень!E29</f>
        <v>11</v>
      </c>
      <c r="N29" s="40">
        <f>F29-вересень!F29</f>
        <v>-477.51</v>
      </c>
      <c r="O29" s="148">
        <f t="shared" si="3"/>
        <v>-488.51</v>
      </c>
      <c r="P29" s="145">
        <f t="shared" si="9"/>
        <v>-4341</v>
      </c>
      <c r="Q29" s="148">
        <f>N29-55.3</f>
        <v>-532.81</v>
      </c>
      <c r="R29" s="149">
        <f>N29/55.3</f>
        <v>-8.63490054249548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3.35</v>
      </c>
      <c r="G30" s="49">
        <f t="shared" si="0"/>
        <v>-24.15</v>
      </c>
      <c r="H30" s="40"/>
      <c r="I30" s="56"/>
      <c r="J30" s="56"/>
      <c r="K30" s="56">
        <f>F30-25.1</f>
        <v>-21.75</v>
      </c>
      <c r="L30" s="149">
        <f>F30/25.1</f>
        <v>0.13346613545816732</v>
      </c>
      <c r="M30" s="40">
        <f>E30-вересень!E30</f>
        <v>0.5</v>
      </c>
      <c r="N30" s="40">
        <f>F30-вересень!F30</f>
        <v>0.040000000000000036</v>
      </c>
      <c r="O30" s="53">
        <f t="shared" si="3"/>
        <v>-0.45999999999999996</v>
      </c>
      <c r="P30" s="56"/>
      <c r="Q30" s="56">
        <f>N30-0</f>
        <v>0.040000000000000036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68266.84</v>
      </c>
      <c r="G33" s="49">
        <f aca="true" t="shared" si="14" ref="G33:G72">F33-E33</f>
        <v>3731</v>
      </c>
      <c r="H33" s="40">
        <f aca="true" t="shared" si="15" ref="H33:H67">F33/E33*100</f>
        <v>105.7812837022033</v>
      </c>
      <c r="I33" s="56">
        <f>F33-D33</f>
        <v>-25299.160000000003</v>
      </c>
      <c r="J33" s="56">
        <f aca="true" t="shared" si="16" ref="J33:J72">F33/D33*100</f>
        <v>72.96116110552978</v>
      </c>
      <c r="K33" s="141">
        <f>F33-67415.8</f>
        <v>851.0399999999936</v>
      </c>
      <c r="L33" s="142">
        <f>F33/67415.8</f>
        <v>1.0126237469554613</v>
      </c>
      <c r="M33" s="40">
        <f>E33-вересень!E33</f>
        <v>6833.699999999997</v>
      </c>
      <c r="N33" s="40">
        <f>F33-вересень!F33</f>
        <v>7034.379999999997</v>
      </c>
      <c r="O33" s="53">
        <f t="shared" si="3"/>
        <v>200.6800000000003</v>
      </c>
      <c r="P33" s="56">
        <f aca="true" t="shared" si="17" ref="P33:P67">N33/M33*100</f>
        <v>102.93662291291687</v>
      </c>
      <c r="Q33" s="141">
        <f>N33-7002.6</f>
        <v>31.779999999997017</v>
      </c>
      <c r="R33" s="142">
        <f>N33/7002.6</f>
        <v>1.0045383143403874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50704.65</v>
      </c>
      <c r="G55" s="144">
        <f t="shared" si="14"/>
        <v>3299.1100000000006</v>
      </c>
      <c r="H55" s="146">
        <f t="shared" si="15"/>
        <v>106.95933428877721</v>
      </c>
      <c r="I55" s="145">
        <f t="shared" si="18"/>
        <v>-19561.35</v>
      </c>
      <c r="J55" s="145">
        <f t="shared" si="16"/>
        <v>72.16100247630433</v>
      </c>
      <c r="K55" s="148">
        <f>F55-49156.62</f>
        <v>1548.0299999999988</v>
      </c>
      <c r="L55" s="149">
        <f>F55/49156.62</f>
        <v>1.031491790932737</v>
      </c>
      <c r="M55" s="40">
        <f>E55-вересень!E55</f>
        <v>4933.700000000004</v>
      </c>
      <c r="N55" s="40">
        <f>F55-вересень!F55</f>
        <v>5283.25</v>
      </c>
      <c r="O55" s="148">
        <f t="shared" si="3"/>
        <v>349.54999999999563</v>
      </c>
      <c r="P55" s="148">
        <f t="shared" si="17"/>
        <v>107.08494638911962</v>
      </c>
      <c r="Q55" s="160">
        <f>N55-5343.11</f>
        <v>-59.85999999999967</v>
      </c>
      <c r="R55" s="161">
        <f>N55/5343.11</f>
        <v>0.9887967868900323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5666.5</v>
      </c>
      <c r="F56" s="169">
        <f>1.51+5344.45</f>
        <v>5345.96</v>
      </c>
      <c r="G56" s="49">
        <f t="shared" si="14"/>
        <v>-320.53999999999996</v>
      </c>
      <c r="H56" s="40">
        <f t="shared" si="15"/>
        <v>94.34324538957028</v>
      </c>
      <c r="I56" s="56">
        <f t="shared" si="18"/>
        <v>-1514.04</v>
      </c>
      <c r="J56" s="56">
        <f t="shared" si="16"/>
        <v>77.92944606413994</v>
      </c>
      <c r="K56" s="56">
        <f>F56-5173.5</f>
        <v>172.46000000000004</v>
      </c>
      <c r="L56" s="135">
        <f>F56/5173.5</f>
        <v>1.033335266260752</v>
      </c>
      <c r="M56" s="40">
        <f>E56-вересень!E56</f>
        <v>553</v>
      </c>
      <c r="N56" s="40">
        <f>F56-вересень!F56</f>
        <v>502.4299999999994</v>
      </c>
      <c r="O56" s="53">
        <f t="shared" si="3"/>
        <v>-50.57000000000062</v>
      </c>
      <c r="P56" s="56">
        <f t="shared" si="17"/>
        <v>90.85533453887874</v>
      </c>
      <c r="Q56" s="56">
        <f>N56-479</f>
        <v>23.42999999999938</v>
      </c>
      <c r="R56" s="135">
        <f>N56/479</f>
        <v>1.048914405010437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1.8</v>
      </c>
      <c r="G68" s="49">
        <f t="shared" si="14"/>
        <v>1.7</v>
      </c>
      <c r="H68" s="40"/>
      <c r="I68" s="56">
        <f t="shared" si="18"/>
        <v>1.7</v>
      </c>
      <c r="J68" s="56">
        <f t="shared" si="16"/>
        <v>1800</v>
      </c>
      <c r="K68" s="56">
        <f>F68-(-2)</f>
        <v>3.8</v>
      </c>
      <c r="L68" s="135"/>
      <c r="M68" s="40">
        <f>E68-вересень!E68</f>
        <v>0</v>
      </c>
      <c r="N68" s="40">
        <f>F68-вересень!F68</f>
        <v>0.26</v>
      </c>
      <c r="O68" s="53">
        <f t="shared" si="3"/>
        <v>0.26</v>
      </c>
      <c r="P68" s="56"/>
      <c r="Q68" s="56">
        <f>N68-(-0.3)</f>
        <v>0.56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10788.91</v>
      </c>
      <c r="G74" s="50">
        <f aca="true" t="shared" si="24" ref="G74:G92">F74-E74</f>
        <v>-2907.59</v>
      </c>
      <c r="H74" s="51">
        <f aca="true" t="shared" si="25" ref="H74:H87">F74/E74*100</f>
        <v>78.77129193589603</v>
      </c>
      <c r="I74" s="36">
        <f aca="true" t="shared" si="26" ref="I74:I92">F74-D74</f>
        <v>-7569.389999999999</v>
      </c>
      <c r="J74" s="36">
        <f aca="true" t="shared" si="27" ref="J74:J92">F74/D74*100</f>
        <v>58.76856789572019</v>
      </c>
      <c r="K74" s="36">
        <f>F74-16325.3</f>
        <v>-5536.389999999999</v>
      </c>
      <c r="L74" s="136">
        <f>F74/16325.3</f>
        <v>0.6608705506177528</v>
      </c>
      <c r="M74" s="22">
        <f>M77+M86+M88+M89+M94+M95+M96+M97+M99+M87+M104</f>
        <v>1516.5</v>
      </c>
      <c r="N74" s="22">
        <f>N77+N86+N88+N89+N94+N95+N96+N97+N99+N32+N104+N87+N103</f>
        <v>1029.4769999999994</v>
      </c>
      <c r="O74" s="55">
        <f aca="true" t="shared" si="28" ref="O74:O92">N74-M74</f>
        <v>-487.0230000000006</v>
      </c>
      <c r="P74" s="36">
        <f>N74/M74*100</f>
        <v>67.88506429277939</v>
      </c>
      <c r="Q74" s="36">
        <f>N74-1739.9</f>
        <v>-710.4230000000007</v>
      </c>
      <c r="R74" s="136">
        <f>N74/1739.9</f>
        <v>0.5916874533019135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F77-1716.7</f>
        <v>-1593.25</v>
      </c>
      <c r="L77" s="168">
        <f>F77/1716.7</f>
        <v>0.0719112250247568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N77-22.2</f>
        <v>-22.2</v>
      </c>
      <c r="R77" s="135">
        <f>N77/22.2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F86-3105.3</f>
        <v>-3105.3</v>
      </c>
      <c r="L86" s="168"/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N86-463.7</f>
        <v>-463.7</v>
      </c>
      <c r="R86" s="135">
        <f>N86/463.7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279.6</v>
      </c>
      <c r="G87" s="49">
        <f t="shared" si="24"/>
        <v>59.60000000000002</v>
      </c>
      <c r="H87" s="40">
        <f t="shared" si="25"/>
        <v>127.0909090909091</v>
      </c>
      <c r="I87" s="56">
        <f t="shared" si="26"/>
        <v>-220.39999999999998</v>
      </c>
      <c r="J87" s="56">
        <f t="shared" si="27"/>
        <v>55.92</v>
      </c>
      <c r="K87" s="56">
        <f>F87-222.2</f>
        <v>57.400000000000034</v>
      </c>
      <c r="L87" s="135">
        <f>F87/222.2</f>
        <v>1.2583258325832585</v>
      </c>
      <c r="M87" s="40">
        <f>E87-вересень!E87</f>
        <v>0</v>
      </c>
      <c r="N87" s="40">
        <f>F87-вересень!F87</f>
        <v>7.350000000000023</v>
      </c>
      <c r="O87" s="53">
        <f t="shared" si="28"/>
        <v>7.350000000000023</v>
      </c>
      <c r="P87" s="56" t="e">
        <f t="shared" si="29"/>
        <v>#DIV/0!</v>
      </c>
      <c r="Q87" s="56">
        <f>N87-11.9</f>
        <v>-4.549999999999978</v>
      </c>
      <c r="R87" s="135">
        <f>N87/11.9</f>
        <v>0.6176470588235313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F88-4.4</f>
        <v>1.1999999999999993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N88-1.3</f>
        <v>-1.3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112.45</v>
      </c>
      <c r="G89" s="49">
        <f t="shared" si="24"/>
        <v>-31.549999999999997</v>
      </c>
      <c r="H89" s="40">
        <f>F89/E89*100</f>
        <v>78.09027777777779</v>
      </c>
      <c r="I89" s="56">
        <f t="shared" si="26"/>
        <v>-62.55</v>
      </c>
      <c r="J89" s="56">
        <f t="shared" si="27"/>
        <v>64.25714285714285</v>
      </c>
      <c r="K89" s="56">
        <f>F89-137.6</f>
        <v>-25.14999999999999</v>
      </c>
      <c r="L89" s="135">
        <f>F89/137.6</f>
        <v>0.8172238372093024</v>
      </c>
      <c r="M89" s="40">
        <f>E89-вересень!E89</f>
        <v>15</v>
      </c>
      <c r="N89" s="40">
        <f>F89-вересень!F89</f>
        <v>14.5</v>
      </c>
      <c r="O89" s="53">
        <f t="shared" si="28"/>
        <v>-0.5</v>
      </c>
      <c r="P89" s="56">
        <f>N89/M89*100</f>
        <v>96.66666666666667</v>
      </c>
      <c r="Q89" s="56">
        <f>N89-14.4</f>
        <v>0.09999999999999964</v>
      </c>
      <c r="R89" s="135">
        <f>N89/14.4</f>
        <v>1.0069444444444444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5937.15</v>
      </c>
      <c r="G95" s="49">
        <f t="shared" si="31"/>
        <v>105.64999999999964</v>
      </c>
      <c r="H95" s="40">
        <f>F95/E95*100</f>
        <v>101.81171225242218</v>
      </c>
      <c r="I95" s="56">
        <f t="shared" si="32"/>
        <v>-1062.8500000000004</v>
      </c>
      <c r="J95" s="56">
        <f>F95/D95*100</f>
        <v>84.81642857142857</v>
      </c>
      <c r="K95" s="56">
        <f>F95-6170</f>
        <v>-232.85000000000036</v>
      </c>
      <c r="L95" s="135">
        <f>F95/6170</f>
        <v>0.9622609400324148</v>
      </c>
      <c r="M95" s="40">
        <f>E95-вересень!E95</f>
        <v>575</v>
      </c>
      <c r="N95" s="40">
        <f>F95-вересень!F95</f>
        <v>571.7299999999996</v>
      </c>
      <c r="O95" s="53">
        <f t="shared" si="33"/>
        <v>-3.2700000000004366</v>
      </c>
      <c r="P95" s="56">
        <f>N95/M95*100</f>
        <v>99.43130434782601</v>
      </c>
      <c r="Q95" s="56">
        <f>N95-652.5</f>
        <v>-80.77000000000044</v>
      </c>
      <c r="R95" s="135">
        <f>N95/652.5</f>
        <v>0.8762145593869725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865.17</v>
      </c>
      <c r="G96" s="49">
        <f t="shared" si="31"/>
        <v>-39.33000000000004</v>
      </c>
      <c r="H96" s="40">
        <f>F96/E96*100</f>
        <v>95.65174129353234</v>
      </c>
      <c r="I96" s="56">
        <f t="shared" si="32"/>
        <v>-334.83000000000004</v>
      </c>
      <c r="J96" s="56">
        <f>F96/D96*100</f>
        <v>72.0975</v>
      </c>
      <c r="K96" s="56">
        <f>F96-930</f>
        <v>-64.83000000000004</v>
      </c>
      <c r="L96" s="135">
        <f>F96/930</f>
        <v>0.9302903225806451</v>
      </c>
      <c r="M96" s="40">
        <f>E96-вересень!E96</f>
        <v>110</v>
      </c>
      <c r="N96" s="40">
        <f>F96-вересень!F96</f>
        <v>82.78999999999996</v>
      </c>
      <c r="O96" s="53">
        <f t="shared" si="33"/>
        <v>-27.210000000000036</v>
      </c>
      <c r="P96" s="56">
        <f>N96/M96*100</f>
        <v>75.26363636363634</v>
      </c>
      <c r="Q96" s="56">
        <f>N96-134.5</f>
        <v>-51.710000000000036</v>
      </c>
      <c r="R96" s="135">
        <f>N96/134.5</f>
        <v>0.6155390334572488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3446.94</v>
      </c>
      <c r="G99" s="49">
        <f t="shared" si="31"/>
        <v>109.94000000000005</v>
      </c>
      <c r="H99" s="40">
        <f>F99/E99*100</f>
        <v>103.29457596643692</v>
      </c>
      <c r="I99" s="56">
        <f t="shared" si="32"/>
        <v>-1125.7599999999998</v>
      </c>
      <c r="J99" s="56">
        <f>F99/D99*100</f>
        <v>75.38084720187199</v>
      </c>
      <c r="K99" s="56">
        <f>F99-3845.9</f>
        <v>-398.96000000000004</v>
      </c>
      <c r="L99" s="135">
        <f>F99/3845.9</f>
        <v>0.896263553394524</v>
      </c>
      <c r="M99" s="40">
        <f>E99-вересень!E99</f>
        <v>330</v>
      </c>
      <c r="N99" s="40">
        <f>F99-вересень!F99</f>
        <v>353.10699999999997</v>
      </c>
      <c r="O99" s="53">
        <f t="shared" si="33"/>
        <v>23.10699999999997</v>
      </c>
      <c r="P99" s="56">
        <f>N99/M99*100</f>
        <v>107.00212121212121</v>
      </c>
      <c r="Q99" s="56">
        <f>N99-434.7</f>
        <v>-81.59300000000002</v>
      </c>
      <c r="R99" s="135">
        <f>N99/434.7</f>
        <v>0.8123004370830458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839.3</v>
      </c>
      <c r="G102" s="144"/>
      <c r="H102" s="146"/>
      <c r="I102" s="145"/>
      <c r="J102" s="145"/>
      <c r="K102" s="148">
        <f>F102-647.5</f>
        <v>191.79999999999995</v>
      </c>
      <c r="L102" s="149">
        <f>F102/647.5</f>
        <v>1.296216216216216</v>
      </c>
      <c r="M102" s="40">
        <f>E102-вересень!E102</f>
        <v>0</v>
      </c>
      <c r="N102" s="40">
        <f>F102-вересень!F102</f>
        <v>80.89999999999998</v>
      </c>
      <c r="O102" s="53"/>
      <c r="P102" s="60"/>
      <c r="Q102" s="60">
        <f>N102-103.3</f>
        <v>-22.40000000000002</v>
      </c>
      <c r="R102" s="138">
        <f>N102/103.3</f>
        <v>0.7831558567279766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-43.79</v>
      </c>
      <c r="K104" s="56">
        <f>F104-63.9</f>
        <v>-50.62</v>
      </c>
      <c r="L104" s="135">
        <f>F104/63.9</f>
        <v>0.20782472613458527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21.71</v>
      </c>
      <c r="G105" s="49">
        <f>F105-E105</f>
        <v>-5.489999999999998</v>
      </c>
      <c r="H105" s="40">
        <f>F105/E105*100</f>
        <v>79.81617647058825</v>
      </c>
      <c r="I105" s="56">
        <f t="shared" si="34"/>
        <v>-23.29</v>
      </c>
      <c r="J105" s="56">
        <f aca="true" t="shared" si="36" ref="J105:J110">F105/D105*100</f>
        <v>48.24444444444445</v>
      </c>
      <c r="K105" s="56">
        <f>F105-17.2</f>
        <v>4.510000000000002</v>
      </c>
      <c r="L105" s="135">
        <f>F105/17.2</f>
        <v>1.2622093023255816</v>
      </c>
      <c r="M105" s="40">
        <f>E105-вересень!E105</f>
        <v>3</v>
      </c>
      <c r="N105" s="40">
        <f>F105-вересень!F105</f>
        <v>1.8100000000000023</v>
      </c>
      <c r="O105" s="53">
        <f t="shared" si="35"/>
        <v>-1.1899999999999977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404727.3399999999</v>
      </c>
      <c r="F107" s="22">
        <f>F8+F74+F105+F106</f>
        <v>399570.24</v>
      </c>
      <c r="G107" s="175">
        <f>F107-E107</f>
        <v>-5157.0999999999185</v>
      </c>
      <c r="H107" s="51">
        <f>F107/E107*100</f>
        <v>98.72578412913742</v>
      </c>
      <c r="I107" s="36">
        <f t="shared" si="34"/>
        <v>-107309.35999999999</v>
      </c>
      <c r="J107" s="36">
        <f t="shared" si="36"/>
        <v>78.82941826816467</v>
      </c>
      <c r="K107" s="36">
        <f>F107-397893.6</f>
        <v>1676.640000000014</v>
      </c>
      <c r="L107" s="136">
        <f>F107/397893.6</f>
        <v>1.0042137898171772</v>
      </c>
      <c r="M107" s="22">
        <f>M8+M74+M105+M106</f>
        <v>41164.299999999974</v>
      </c>
      <c r="N107" s="22">
        <f>N8+N74+N105+N106</f>
        <v>41500.48700000001</v>
      </c>
      <c r="O107" s="55">
        <f t="shared" si="35"/>
        <v>336.18700000003446</v>
      </c>
      <c r="P107" s="36">
        <f>N107/M107*100</f>
        <v>100.81669553472314</v>
      </c>
      <c r="Q107" s="36">
        <f>N107-39005.1</f>
        <v>2495.3870000000097</v>
      </c>
      <c r="R107" s="136">
        <f>N107/39005.1</f>
        <v>1.063975915969963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320610.6</v>
      </c>
      <c r="F108" s="71">
        <f>F10-F18+F96</f>
        <v>316887.36</v>
      </c>
      <c r="G108" s="153">
        <f>G10-G18+G96</f>
        <v>-3723.2399999999743</v>
      </c>
      <c r="H108" s="72">
        <f>F108/E108*100</f>
        <v>98.83870339907665</v>
      </c>
      <c r="I108" s="52">
        <f t="shared" si="34"/>
        <v>-71325.84000000003</v>
      </c>
      <c r="J108" s="52">
        <f t="shared" si="36"/>
        <v>81.62714714491933</v>
      </c>
      <c r="K108" s="52">
        <f>F108-303111.5</f>
        <v>13775.859999999986</v>
      </c>
      <c r="L108" s="137">
        <f>F108/303111.5</f>
        <v>1.0454481601654837</v>
      </c>
      <c r="M108" s="71">
        <f>M10-M18+M96</f>
        <v>32356.599999999977</v>
      </c>
      <c r="N108" s="71">
        <f>N10-N18+N96</f>
        <v>33491.30000000001</v>
      </c>
      <c r="O108" s="53">
        <f t="shared" si="35"/>
        <v>1134.7000000000335</v>
      </c>
      <c r="P108" s="52">
        <f>N108/M108*100</f>
        <v>103.50685795170085</v>
      </c>
      <c r="Q108" s="52">
        <f>N108-29552.7</f>
        <v>3938.6000000000095</v>
      </c>
      <c r="R108" s="137">
        <f>N108/29552.7</f>
        <v>1.1332737787071911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84116.73999999993</v>
      </c>
      <c r="F109" s="71">
        <f>F107-F108</f>
        <v>82682.88</v>
      </c>
      <c r="G109" s="176">
        <f>F109-E109</f>
        <v>-1433.8599999999278</v>
      </c>
      <c r="H109" s="72">
        <f>F109/E109*100</f>
        <v>98.29539280766238</v>
      </c>
      <c r="I109" s="52">
        <f t="shared" si="34"/>
        <v>-35983.51999999996</v>
      </c>
      <c r="J109" s="52">
        <f t="shared" si="36"/>
        <v>69.67674084660867</v>
      </c>
      <c r="K109" s="52">
        <f>F109-94782.1</f>
        <v>-12099.220000000001</v>
      </c>
      <c r="L109" s="137">
        <f>F109/94782.1</f>
        <v>0.8723469937889116</v>
      </c>
      <c r="M109" s="71">
        <f>M107-M108</f>
        <v>8807.699999999997</v>
      </c>
      <c r="N109" s="71">
        <f>N107-N108</f>
        <v>8009.186999999998</v>
      </c>
      <c r="O109" s="53">
        <f t="shared" si="35"/>
        <v>-798.512999999999</v>
      </c>
      <c r="P109" s="52">
        <f>N109/M109*100</f>
        <v>90.93392145509044</v>
      </c>
      <c r="Q109" s="52">
        <f>N109-9452.4</f>
        <v>-1443.2130000000016</v>
      </c>
      <c r="R109" s="137">
        <f>N109/9452.4</f>
        <v>0.8473178240446869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316887.36</v>
      </c>
      <c r="G110" s="111">
        <f>F110-E110</f>
        <v>1646.6599999999744</v>
      </c>
      <c r="H110" s="72">
        <f>F110/E110*100</f>
        <v>100.52235006456971</v>
      </c>
      <c r="I110" s="81">
        <f t="shared" si="34"/>
        <v>-71325.84000000003</v>
      </c>
      <c r="J110" s="52">
        <f t="shared" si="36"/>
        <v>81.62714714491933</v>
      </c>
      <c r="K110" s="52"/>
      <c r="L110" s="137"/>
      <c r="M110" s="72">
        <f>E110-вересень!E110</f>
        <v>32356.600000000035</v>
      </c>
      <c r="N110" s="71">
        <f>N108</f>
        <v>33491.30000000001</v>
      </c>
      <c r="O110" s="63">
        <f t="shared" si="35"/>
        <v>1134.6999999999753</v>
      </c>
      <c r="P110" s="52">
        <f>N110/M110*100</f>
        <v>103.50685795170065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F114-21.5</f>
        <v>-21.54</v>
      </c>
      <c r="L114" s="138">
        <f>F114/21.5</f>
        <v>-0.0018604651162790699</v>
      </c>
      <c r="M114" s="40">
        <f>E114-вересень!E114</f>
        <v>0</v>
      </c>
      <c r="N114" s="40">
        <f>F114-вересень!F114</f>
        <v>0.1</v>
      </c>
      <c r="O114" s="53"/>
      <c r="P114" s="60"/>
      <c r="Q114" s="60">
        <f>N114-0.9</f>
        <v>-0.8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1318.55</v>
      </c>
      <c r="G115" s="49">
        <f t="shared" si="37"/>
        <v>-1688.45</v>
      </c>
      <c r="H115" s="40">
        <f aca="true" t="shared" si="39" ref="H115:H126">F115/E115*100</f>
        <v>43.849351513136014</v>
      </c>
      <c r="I115" s="60">
        <f t="shared" si="38"/>
        <v>-2352.95</v>
      </c>
      <c r="J115" s="60">
        <f aca="true" t="shared" si="40" ref="J115:J121">F115/D115*100</f>
        <v>35.913114530845704</v>
      </c>
      <c r="K115" s="60">
        <f>F115-3128</f>
        <v>-1809.45</v>
      </c>
      <c r="L115" s="138">
        <f>F115/3128</f>
        <v>0.42153132992327363</v>
      </c>
      <c r="M115" s="40">
        <f>E115-вересень!E115</f>
        <v>327.4000000000001</v>
      </c>
      <c r="N115" s="40">
        <f>F115-вересень!F115</f>
        <v>195.6199999999999</v>
      </c>
      <c r="O115" s="53">
        <f aca="true" t="shared" si="41" ref="O115:O126">N115-M115</f>
        <v>-131.7800000000002</v>
      </c>
      <c r="P115" s="60">
        <f>N115/M115*100</f>
        <v>59.74954184483807</v>
      </c>
      <c r="Q115" s="60">
        <f>N115-50.4</f>
        <v>145.21999999999989</v>
      </c>
      <c r="R115" s="138">
        <f>N115/50.4</f>
        <v>3.881349206349204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263.25</v>
      </c>
      <c r="G116" s="49">
        <f t="shared" si="37"/>
        <v>40.75</v>
      </c>
      <c r="H116" s="40">
        <f t="shared" si="39"/>
        <v>118.31460674157303</v>
      </c>
      <c r="I116" s="60">
        <f t="shared" si="38"/>
        <v>-4.850000000000023</v>
      </c>
      <c r="J116" s="60">
        <f t="shared" si="40"/>
        <v>98.19097351734428</v>
      </c>
      <c r="K116" s="60">
        <f>F116-231.4</f>
        <v>31.849999999999994</v>
      </c>
      <c r="L116" s="138">
        <f>F116/231.4</f>
        <v>1.1376404494382022</v>
      </c>
      <c r="M116" s="40">
        <f>E116-вересень!E116</f>
        <v>22</v>
      </c>
      <c r="N116" s="40">
        <f>F116-вересень!F116</f>
        <v>26.090000000000003</v>
      </c>
      <c r="O116" s="53">
        <f t="shared" si="41"/>
        <v>4.090000000000003</v>
      </c>
      <c r="P116" s="60">
        <f>N116/M116*100</f>
        <v>118.59090909090911</v>
      </c>
      <c r="Q116" s="60">
        <f>N116-21.4</f>
        <v>4.690000000000005</v>
      </c>
      <c r="R116" s="138">
        <f>N116/21.4</f>
        <v>1.2191588785046732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1581.76</v>
      </c>
      <c r="G117" s="62">
        <f t="shared" si="37"/>
        <v>-1647.74</v>
      </c>
      <c r="H117" s="72">
        <f t="shared" si="39"/>
        <v>48.97847964081127</v>
      </c>
      <c r="I117" s="61">
        <f t="shared" si="38"/>
        <v>-2357.84</v>
      </c>
      <c r="J117" s="61">
        <f t="shared" si="40"/>
        <v>40.15026906284902</v>
      </c>
      <c r="K117" s="61">
        <f>F117-33371</f>
        <v>-31789.24</v>
      </c>
      <c r="L117" s="139">
        <f>F117/3371</f>
        <v>0.46922574903589437</v>
      </c>
      <c r="M117" s="62">
        <f>M115+M116+M114</f>
        <v>349.4000000000001</v>
      </c>
      <c r="N117" s="38">
        <f>SUM(N114:N116)</f>
        <v>221.8099999999999</v>
      </c>
      <c r="O117" s="61">
        <f t="shared" si="41"/>
        <v>-127.5900000000002</v>
      </c>
      <c r="P117" s="61">
        <f>N117/M117*100</f>
        <v>63.483113909559194</v>
      </c>
      <c r="Q117" s="61">
        <f>N117-71.8</f>
        <v>150.00999999999988</v>
      </c>
      <c r="R117" s="139">
        <f>N117/71.8</f>
        <v>3.0892757660167116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437</v>
      </c>
      <c r="G119" s="49">
        <f t="shared" si="37"/>
        <v>176.5</v>
      </c>
      <c r="H119" s="40">
        <f t="shared" si="39"/>
        <v>167.75431861804222</v>
      </c>
      <c r="I119" s="60">
        <f t="shared" si="38"/>
        <v>169.8</v>
      </c>
      <c r="J119" s="60">
        <f t="shared" si="40"/>
        <v>163.54790419161677</v>
      </c>
      <c r="K119" s="60">
        <f>F119-234.2</f>
        <v>202.8</v>
      </c>
      <c r="L119" s="138">
        <f>F119/234.2</f>
        <v>1.8659265584970113</v>
      </c>
      <c r="M119" s="40">
        <f>E119-вересень!E119</f>
        <v>73</v>
      </c>
      <c r="N119" s="40">
        <f>F119-вересень!F119</f>
        <v>122.85000000000002</v>
      </c>
      <c r="O119" s="53">
        <f>N119-M119</f>
        <v>49.85000000000002</v>
      </c>
      <c r="P119" s="60">
        <f>N119/M119*100</f>
        <v>168.28767123287673</v>
      </c>
      <c r="Q119" s="60">
        <f>N119-59.7</f>
        <v>63.15000000000002</v>
      </c>
      <c r="R119" s="138">
        <f>N119/59.7</f>
        <v>2.0577889447236184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67857.28</v>
      </c>
      <c r="G120" s="49">
        <f t="shared" si="37"/>
        <v>7844.68</v>
      </c>
      <c r="H120" s="40">
        <f t="shared" si="39"/>
        <v>113.0717216051296</v>
      </c>
      <c r="I120" s="53">
        <f t="shared" si="38"/>
        <v>-4118.710000000006</v>
      </c>
      <c r="J120" s="60">
        <f t="shared" si="40"/>
        <v>94.27766120340962</v>
      </c>
      <c r="K120" s="60">
        <f>F120-58190.1</f>
        <v>9667.18</v>
      </c>
      <c r="L120" s="138">
        <f>F120/58190.1</f>
        <v>1.1661310085392533</v>
      </c>
      <c r="M120" s="40">
        <f>E120-вересень!E120</f>
        <v>7500</v>
      </c>
      <c r="N120" s="40">
        <f>F120-вересень!F120</f>
        <v>8320.82</v>
      </c>
      <c r="O120" s="53">
        <f t="shared" si="41"/>
        <v>820.8199999999997</v>
      </c>
      <c r="P120" s="60">
        <f aca="true" t="shared" si="42" ref="P120:P125">N120/M120*100</f>
        <v>110.94426666666666</v>
      </c>
      <c r="Q120" s="60">
        <f>N120-7531</f>
        <v>789.8199999999997</v>
      </c>
      <c r="R120" s="138">
        <f>N120/7531</f>
        <v>1.1048758465011286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1754.79</v>
      </c>
      <c r="G121" s="49">
        <f t="shared" si="37"/>
        <v>-1444.6100000000001</v>
      </c>
      <c r="H121" s="40">
        <f t="shared" si="39"/>
        <v>54.847471400887656</v>
      </c>
      <c r="I121" s="60">
        <f t="shared" si="38"/>
        <v>-2995.21</v>
      </c>
      <c r="J121" s="60">
        <f t="shared" si="40"/>
        <v>36.94294736842105</v>
      </c>
      <c r="K121" s="60">
        <f>F121-1289.6</f>
        <v>465.19000000000005</v>
      </c>
      <c r="L121" s="138">
        <f>F121/1289.6</f>
        <v>1.3607242555831267</v>
      </c>
      <c r="M121" s="40">
        <f>E121-вересень!E121</f>
        <v>1476.4</v>
      </c>
      <c r="N121" s="40">
        <f>F121-вересень!F121</f>
        <v>0.05999999999994543</v>
      </c>
      <c r="O121" s="53">
        <f t="shared" si="41"/>
        <v>-1476.3400000000001</v>
      </c>
      <c r="P121" s="60">
        <f t="shared" si="42"/>
        <v>0.004063939311835914</v>
      </c>
      <c r="Q121" s="60">
        <f>N121-0</f>
        <v>0.05999999999994543</v>
      </c>
      <c r="R121" s="138" t="e">
        <f>N121/0</f>
        <v>#DIV/0!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2762.1</v>
      </c>
      <c r="G122" s="49">
        <f t="shared" si="37"/>
        <v>-14814.13</v>
      </c>
      <c r="H122" s="40">
        <f t="shared" si="39"/>
        <v>15.71497414405706</v>
      </c>
      <c r="I122" s="60">
        <f t="shared" si="38"/>
        <v>-20315.030000000002</v>
      </c>
      <c r="J122" s="60">
        <f>F122/D122*100</f>
        <v>11.96899267803232</v>
      </c>
      <c r="K122" s="60">
        <f>F122-22665.8</f>
        <v>-19903.7</v>
      </c>
      <c r="L122" s="138">
        <f>F122/22665.8</f>
        <v>0.12186201237106124</v>
      </c>
      <c r="M122" s="40">
        <f>E122-вересень!E122</f>
        <v>4648.800000000001</v>
      </c>
      <c r="N122" s="40">
        <f>F122-вересень!F122</f>
        <v>368.8600000000001</v>
      </c>
      <c r="O122" s="53">
        <f t="shared" si="41"/>
        <v>-4279.9400000000005</v>
      </c>
      <c r="P122" s="60">
        <f t="shared" si="42"/>
        <v>7.934520736534161</v>
      </c>
      <c r="Q122" s="60">
        <f>N122-361.9</f>
        <v>6.96000000000015</v>
      </c>
      <c r="R122" s="138">
        <f>N122/361.9</f>
        <v>1.0192318319977898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1134.02</v>
      </c>
      <c r="G123" s="49">
        <f t="shared" si="37"/>
        <v>-486.78999999999996</v>
      </c>
      <c r="H123" s="40">
        <f t="shared" si="39"/>
        <v>69.96625144218015</v>
      </c>
      <c r="I123" s="60">
        <f t="shared" si="38"/>
        <v>-865.98</v>
      </c>
      <c r="J123" s="60">
        <f>F123/D123*100</f>
        <v>56.701</v>
      </c>
      <c r="K123" s="60">
        <f>F123-1722.8</f>
        <v>-588.78</v>
      </c>
      <c r="L123" s="138">
        <f>F123/1722.8</f>
        <v>0.6582423960993731</v>
      </c>
      <c r="M123" s="40">
        <f>E123-вересень!E123</f>
        <v>189.58999999999992</v>
      </c>
      <c r="N123" s="40">
        <f>F123-вересень!F123</f>
        <v>59.1099999999999</v>
      </c>
      <c r="O123" s="53">
        <f t="shared" si="41"/>
        <v>-130.48000000000002</v>
      </c>
      <c r="P123" s="60">
        <f t="shared" si="42"/>
        <v>31.177804736536697</v>
      </c>
      <c r="Q123" s="60">
        <f>N123-62.5</f>
        <v>-3.3900000000001</v>
      </c>
      <c r="R123" s="138">
        <f>N123/62.5</f>
        <v>0.9457599999999984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73945.19</v>
      </c>
      <c r="G124" s="62">
        <f t="shared" si="37"/>
        <v>-8724.349999999991</v>
      </c>
      <c r="H124" s="72">
        <f t="shared" si="39"/>
        <v>89.44671761812151</v>
      </c>
      <c r="I124" s="61">
        <f t="shared" si="38"/>
        <v>-28125.130000000005</v>
      </c>
      <c r="J124" s="61">
        <f>F124/D124*100</f>
        <v>72.4453396442766</v>
      </c>
      <c r="K124" s="61">
        <f>F124-84102.5</f>
        <v>-10157.309999999998</v>
      </c>
      <c r="L124" s="139">
        <f>F124/84102.5</f>
        <v>0.8792270146547368</v>
      </c>
      <c r="M124" s="62">
        <f>M120+M121+M122+M123+M119</f>
        <v>13887.79</v>
      </c>
      <c r="N124" s="62">
        <f>N120+N121+N122+N123+N119</f>
        <v>8871.7</v>
      </c>
      <c r="O124" s="61">
        <f t="shared" si="41"/>
        <v>-5016.09</v>
      </c>
      <c r="P124" s="61">
        <f t="shared" si="42"/>
        <v>63.881294288004064</v>
      </c>
      <c r="Q124" s="61">
        <f>N124-8015.1</f>
        <v>856.6000000000004</v>
      </c>
      <c r="R124" s="139">
        <f>N124/8015.1</f>
        <v>1.1068732766902472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35.01</v>
      </c>
      <c r="G125" s="49">
        <f t="shared" si="37"/>
        <v>3.849999999999998</v>
      </c>
      <c r="H125" s="40">
        <f t="shared" si="39"/>
        <v>112.3555840821566</v>
      </c>
      <c r="I125" s="60">
        <f t="shared" si="38"/>
        <v>-8.490000000000002</v>
      </c>
      <c r="J125" s="60">
        <f>F125/D125*100</f>
        <v>80.48275862068965</v>
      </c>
      <c r="K125" s="60">
        <f>F125-114</f>
        <v>-78.99000000000001</v>
      </c>
      <c r="L125" s="138">
        <f>F125/114</f>
        <v>0.3071052631578947</v>
      </c>
      <c r="M125" s="40">
        <f>E125-вересень!E125</f>
        <v>4</v>
      </c>
      <c r="N125" s="40">
        <f>F125-вересень!F125</f>
        <v>10.839999999999996</v>
      </c>
      <c r="O125" s="53">
        <f t="shared" si="41"/>
        <v>6.839999999999996</v>
      </c>
      <c r="P125" s="60">
        <f t="shared" si="42"/>
        <v>270.9999999999999</v>
      </c>
      <c r="Q125" s="60">
        <f>N125-2.2</f>
        <v>8.639999999999997</v>
      </c>
      <c r="R125" s="138">
        <f>N125/2.2</f>
        <v>4.927272727272725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F127-17.2</f>
        <v>2.280000000000001</v>
      </c>
      <c r="L127" s="138">
        <f>F127/17.2</f>
        <v>1.1325581395348838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N127-8.7</f>
        <v>-8.7</v>
      </c>
      <c r="R127" s="162">
        <f>N127/8.7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7378.96</v>
      </c>
      <c r="G128" s="49">
        <f aca="true" t="shared" si="43" ref="G128:G135">F128-E128</f>
        <v>658.46</v>
      </c>
      <c r="H128" s="40">
        <f>F128/E128*100</f>
        <v>109.79778290305782</v>
      </c>
      <c r="I128" s="60">
        <f aca="true" t="shared" si="44" ref="I128:I135">F128-D128</f>
        <v>-1321.04</v>
      </c>
      <c r="J128" s="60">
        <f>F128/D128*100</f>
        <v>84.81563218390805</v>
      </c>
      <c r="K128" s="60">
        <f>F128-8728.7</f>
        <v>-1349.7400000000007</v>
      </c>
      <c r="L128" s="138">
        <f>F128/8728.7</f>
        <v>0.8453675805102706</v>
      </c>
      <c r="M128" s="40">
        <f>E128-вересень!E128</f>
        <v>2</v>
      </c>
      <c r="N128" s="40">
        <f>F128-вересень!F128</f>
        <v>10.079999999999927</v>
      </c>
      <c r="O128" s="53">
        <f aca="true" t="shared" si="45" ref="O128:O135">N128-M128</f>
        <v>8.079999999999927</v>
      </c>
      <c r="P128" s="60">
        <f>N128/M128*100</f>
        <v>503.99999999999636</v>
      </c>
      <c r="Q128" s="60">
        <f>N128-13.5</f>
        <v>-3.4200000000000728</v>
      </c>
      <c r="R128" s="162">
        <f>N128/13.5</f>
        <v>0.7466666666666613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1.29</v>
      </c>
      <c r="G129" s="49">
        <f t="shared" si="43"/>
        <v>1.29</v>
      </c>
      <c r="H129" s="40"/>
      <c r="I129" s="60">
        <f t="shared" si="44"/>
        <v>1.29</v>
      </c>
      <c r="J129" s="60"/>
      <c r="K129" s="60">
        <f>F129-1.1</f>
        <v>0.18999999999999995</v>
      </c>
      <c r="L129" s="138">
        <f>F129/1.1</f>
        <v>1.1727272727272726</v>
      </c>
      <c r="M129" s="40">
        <f>E129-вересень!E129</f>
        <v>0</v>
      </c>
      <c r="N129" s="40">
        <f>F129-вересень!F129</f>
        <v>0.20999999999999996</v>
      </c>
      <c r="O129" s="53">
        <f t="shared" si="45"/>
        <v>0.20999999999999996</v>
      </c>
      <c r="P129" s="60"/>
      <c r="Q129" s="60">
        <f>N129-0.1</f>
        <v>0.10999999999999996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7434.74</v>
      </c>
      <c r="G130" s="62">
        <f t="shared" si="43"/>
        <v>675.8800000000001</v>
      </c>
      <c r="H130" s="72">
        <f>F130/E130*100</f>
        <v>109.99991122763306</v>
      </c>
      <c r="I130" s="61">
        <f t="shared" si="44"/>
        <v>-1315.960000000001</v>
      </c>
      <c r="J130" s="61">
        <f>F130/D130*100</f>
        <v>84.96166021004034</v>
      </c>
      <c r="K130" s="61">
        <f>F130-8860.9</f>
        <v>-1426.1599999999999</v>
      </c>
      <c r="L130" s="139">
        <f>G130/8860.9</f>
        <v>0.0762766761841348</v>
      </c>
      <c r="M130" s="62">
        <f>M125+M128+M129+M127</f>
        <v>6</v>
      </c>
      <c r="N130" s="62">
        <f>N125+N128+N129+N127</f>
        <v>21.129999999999924</v>
      </c>
      <c r="O130" s="61">
        <f t="shared" si="45"/>
        <v>15.129999999999924</v>
      </c>
      <c r="P130" s="61">
        <f>N130/M130*100</f>
        <v>352.1666666666654</v>
      </c>
      <c r="Q130" s="61">
        <f>N130-24.5</f>
        <v>-3.3700000000000756</v>
      </c>
      <c r="R130" s="137">
        <f>N130/24.5</f>
        <v>0.8624489795918336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33.03</v>
      </c>
      <c r="G131" s="49">
        <f>F131-E131</f>
        <v>9.18</v>
      </c>
      <c r="H131" s="40">
        <f>F131/E131*100</f>
        <v>138.49056603773585</v>
      </c>
      <c r="I131" s="60">
        <f>F131-D131</f>
        <v>3.030000000000001</v>
      </c>
      <c r="J131" s="60">
        <f>F131/D131*100</f>
        <v>110.1</v>
      </c>
      <c r="K131" s="60">
        <f>F131-28</f>
        <v>5.030000000000001</v>
      </c>
      <c r="L131" s="138">
        <f>F131/28</f>
        <v>1.1796428571428572</v>
      </c>
      <c r="M131" s="40">
        <f>E131-вересень!E131</f>
        <v>0.40000000000000213</v>
      </c>
      <c r="N131" s="40">
        <f>F131-вересень!F131</f>
        <v>1.1700000000000017</v>
      </c>
      <c r="O131" s="53">
        <f>N131-M131</f>
        <v>0.7699999999999996</v>
      </c>
      <c r="P131" s="60">
        <f>N131/M131*100</f>
        <v>292.49999999999886</v>
      </c>
      <c r="Q131" s="60">
        <f>N131-2.6</f>
        <v>-1.4299999999999984</v>
      </c>
      <c r="R131" s="138">
        <f>N131/2.6</f>
        <v>0.4500000000000006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82994.72</v>
      </c>
      <c r="G134" s="50">
        <f t="shared" si="43"/>
        <v>-9687.029999999999</v>
      </c>
      <c r="H134" s="51">
        <f>F134/E134*100</f>
        <v>89.54807176170067</v>
      </c>
      <c r="I134" s="36">
        <f t="shared" si="44"/>
        <v>-31795.90000000001</v>
      </c>
      <c r="J134" s="36">
        <f>F134/D134*100</f>
        <v>72.30095978225398</v>
      </c>
      <c r="K134" s="36">
        <f>F134-96362.3</f>
        <v>-13367.580000000002</v>
      </c>
      <c r="L134" s="136">
        <f>F134/96362.3</f>
        <v>0.8612779064011548</v>
      </c>
      <c r="M134" s="31">
        <f>M117+M131+M124+M130+M133+M132</f>
        <v>14243.59</v>
      </c>
      <c r="N134" s="31">
        <f>N117+N131+N124+N130+N133+N132</f>
        <v>9115.81</v>
      </c>
      <c r="O134" s="36">
        <f t="shared" si="45"/>
        <v>-5127.780000000001</v>
      </c>
      <c r="P134" s="36">
        <f>N134/M134*100</f>
        <v>63.999384986509725</v>
      </c>
      <c r="Q134" s="36">
        <f>N134-8114</f>
        <v>1001.8099999999995</v>
      </c>
      <c r="R134" s="136">
        <f>N134/8114</f>
        <v>1.123466847424205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482564.95999999996</v>
      </c>
      <c r="G135" s="50">
        <f t="shared" si="43"/>
        <v>-14844.129999999946</v>
      </c>
      <c r="H135" s="51">
        <f>F135/E135*100</f>
        <v>97.01570994611298</v>
      </c>
      <c r="I135" s="36">
        <f t="shared" si="44"/>
        <v>-139105.26</v>
      </c>
      <c r="J135" s="36">
        <f>F135/D135*100</f>
        <v>77.62394666419762</v>
      </c>
      <c r="K135" s="36">
        <f>F135-494255.9</f>
        <v>-11690.94000000006</v>
      </c>
      <c r="L135" s="136">
        <f>F135/494255.9</f>
        <v>0.9763463825115692</v>
      </c>
      <c r="M135" s="22">
        <f>M107+M134</f>
        <v>55407.88999999997</v>
      </c>
      <c r="N135" s="22">
        <f>N107+N134</f>
        <v>50616.297000000006</v>
      </c>
      <c r="O135" s="36">
        <f t="shared" si="45"/>
        <v>-4791.592999999964</v>
      </c>
      <c r="P135" s="36">
        <f>N135/M135*100</f>
        <v>91.35214677909596</v>
      </c>
      <c r="Q135" s="36">
        <f>N135-47119.1</f>
        <v>3497.1970000000074</v>
      </c>
      <c r="R135" s="136">
        <f>N135/47119.1</f>
        <v>1.0742203692345569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41943</v>
      </c>
      <c r="D139" s="39">
        <v>3346.7</v>
      </c>
      <c r="N139" s="194"/>
      <c r="O139" s="194"/>
    </row>
    <row r="140" spans="3:15" ht="15.75">
      <c r="C140" s="120">
        <v>41942</v>
      </c>
      <c r="D140" s="39">
        <v>4208.5</v>
      </c>
      <c r="F140" s="4" t="s">
        <v>166</v>
      </c>
      <c r="G140" s="190" t="s">
        <v>151</v>
      </c>
      <c r="H140" s="190"/>
      <c r="I140" s="115">
        <v>9020.6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41941</v>
      </c>
      <c r="D141" s="39">
        <v>2987.3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116647.51</v>
      </c>
      <c r="E143" s="80"/>
      <c r="F143" s="100" t="s">
        <v>147</v>
      </c>
      <c r="G143" s="190" t="s">
        <v>149</v>
      </c>
      <c r="H143" s="190"/>
      <c r="I143" s="116">
        <v>107626.91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16930.7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I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276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272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269</v>
      </c>
      <c r="H4" s="206" t="s">
        <v>270</v>
      </c>
      <c r="I4" s="202" t="s">
        <v>188</v>
      </c>
      <c r="J4" s="208" t="s">
        <v>189</v>
      </c>
      <c r="K4" s="195" t="s">
        <v>274</v>
      </c>
      <c r="L4" s="196"/>
      <c r="M4" s="216"/>
      <c r="N4" s="200" t="s">
        <v>277</v>
      </c>
      <c r="O4" s="202" t="s">
        <v>136</v>
      </c>
      <c r="P4" s="202" t="s">
        <v>135</v>
      </c>
      <c r="Q4" s="195" t="s">
        <v>275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268</v>
      </c>
      <c r="F5" s="219"/>
      <c r="G5" s="205"/>
      <c r="H5" s="207"/>
      <c r="I5" s="203"/>
      <c r="J5" s="209"/>
      <c r="K5" s="197"/>
      <c r="L5" s="198"/>
      <c r="M5" s="151" t="s">
        <v>271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177" t="s">
        <v>284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758.4</v>
      </c>
      <c r="G102" s="144"/>
      <c r="H102" s="146"/>
      <c r="I102" s="145"/>
      <c r="J102" s="145"/>
      <c r="K102" s="148">
        <f>F102-545.2</f>
        <v>213.19999999999993</v>
      </c>
      <c r="L102" s="149">
        <f>F102/545.2</f>
        <v>1.3910491562729272</v>
      </c>
      <c r="M102" s="40">
        <f>E102-серпень!E102</f>
        <v>0</v>
      </c>
      <c r="N102" s="40">
        <f>F102-серпень!F102</f>
        <v>122.60000000000002</v>
      </c>
      <c r="O102" s="53"/>
      <c r="P102" s="60"/>
      <c r="Q102" s="60">
        <f>N102-124.1</f>
        <v>-1.4999999999999716</v>
      </c>
      <c r="R102" s="138">
        <f>N102/124.1</f>
        <v>0.9879129734085417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75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76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194"/>
      <c r="O139" s="194"/>
    </row>
    <row r="140" spans="3:15" ht="15.75">
      <c r="C140" s="120">
        <v>41911</v>
      </c>
      <c r="D140" s="39">
        <v>4937.4</v>
      </c>
      <c r="F140" s="4" t="s">
        <v>166</v>
      </c>
      <c r="G140" s="190" t="s">
        <v>151</v>
      </c>
      <c r="H140" s="190"/>
      <c r="I140" s="115">
        <f>9020596.53/1000</f>
        <v>9020.596529999999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41908</v>
      </c>
      <c r="D141" s="39">
        <v>1468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121201109.21/1000</f>
        <v>121201.10921</v>
      </c>
      <c r="E143" s="80"/>
      <c r="F143" s="100" t="s">
        <v>147</v>
      </c>
      <c r="G143" s="190" t="s">
        <v>149</v>
      </c>
      <c r="H143" s="190"/>
      <c r="I143" s="116">
        <f>112180512.68/1000</f>
        <v>112180.51268000001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17426016.57/1000</f>
        <v>17426.01657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261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259</v>
      </c>
      <c r="H4" s="206" t="s">
        <v>260</v>
      </c>
      <c r="I4" s="202" t="s">
        <v>188</v>
      </c>
      <c r="J4" s="208" t="s">
        <v>189</v>
      </c>
      <c r="K4" s="195" t="s">
        <v>264</v>
      </c>
      <c r="L4" s="196"/>
      <c r="M4" s="216"/>
      <c r="N4" s="200" t="s">
        <v>267</v>
      </c>
      <c r="O4" s="202" t="s">
        <v>136</v>
      </c>
      <c r="P4" s="202" t="s">
        <v>135</v>
      </c>
      <c r="Q4" s="195" t="s">
        <v>265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258</v>
      </c>
      <c r="F5" s="219"/>
      <c r="G5" s="205"/>
      <c r="H5" s="207"/>
      <c r="I5" s="203"/>
      <c r="J5" s="209"/>
      <c r="K5" s="197"/>
      <c r="L5" s="198"/>
      <c r="M5" s="151" t="s">
        <v>262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194"/>
      <c r="O139" s="194"/>
    </row>
    <row r="140" spans="3:15" ht="15.75">
      <c r="C140" s="120">
        <v>41879</v>
      </c>
      <c r="D140" s="39">
        <v>3653.6</v>
      </c>
      <c r="F140" s="4" t="s">
        <v>166</v>
      </c>
      <c r="G140" s="190" t="s">
        <v>151</v>
      </c>
      <c r="H140" s="190"/>
      <c r="I140" s="115">
        <v>13829.857960000001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41878</v>
      </c>
      <c r="D141" s="39">
        <v>1194.3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127799.14</v>
      </c>
      <c r="E143" s="80"/>
      <c r="F143" s="100" t="s">
        <v>147</v>
      </c>
      <c r="G143" s="190" t="s">
        <v>149</v>
      </c>
      <c r="H143" s="190"/>
      <c r="I143" s="116">
        <v>113969.28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18493.9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256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252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249</v>
      </c>
      <c r="H4" s="206" t="s">
        <v>250</v>
      </c>
      <c r="I4" s="202" t="s">
        <v>188</v>
      </c>
      <c r="J4" s="208" t="s">
        <v>189</v>
      </c>
      <c r="K4" s="195" t="s">
        <v>254</v>
      </c>
      <c r="L4" s="196"/>
      <c r="M4" s="216"/>
      <c r="N4" s="200" t="s">
        <v>257</v>
      </c>
      <c r="O4" s="202" t="s">
        <v>136</v>
      </c>
      <c r="P4" s="202" t="s">
        <v>135</v>
      </c>
      <c r="Q4" s="195" t="s">
        <v>255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248</v>
      </c>
      <c r="F5" s="219"/>
      <c r="G5" s="205"/>
      <c r="H5" s="207"/>
      <c r="I5" s="203"/>
      <c r="J5" s="209"/>
      <c r="K5" s="197"/>
      <c r="L5" s="198"/>
      <c r="M5" s="151" t="s">
        <v>251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94"/>
      <c r="O139" s="194"/>
    </row>
    <row r="140" spans="3:15" ht="15.75">
      <c r="C140" s="120">
        <v>41850</v>
      </c>
      <c r="D140" s="39">
        <v>4320</v>
      </c>
      <c r="F140" s="4" t="s">
        <v>166</v>
      </c>
      <c r="G140" s="190" t="s">
        <v>151</v>
      </c>
      <c r="H140" s="190"/>
      <c r="I140" s="115">
        <f>13825221.96/1000</f>
        <v>13825.22196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41849</v>
      </c>
      <c r="D141" s="39">
        <v>4403.7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120856761.09/1000</f>
        <v>120856.76109</v>
      </c>
      <c r="E143" s="80"/>
      <c r="F143" s="100" t="s">
        <v>147</v>
      </c>
      <c r="G143" s="190" t="s">
        <v>149</v>
      </c>
      <c r="H143" s="190"/>
      <c r="I143" s="116">
        <f>107031539.13/1000</f>
        <v>107031.53912999999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26199804.73/1000</f>
        <v>26199.80473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246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243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238</v>
      </c>
      <c r="H4" s="206" t="s">
        <v>239</v>
      </c>
      <c r="I4" s="202" t="s">
        <v>188</v>
      </c>
      <c r="J4" s="208" t="s">
        <v>189</v>
      </c>
      <c r="K4" s="195" t="s">
        <v>240</v>
      </c>
      <c r="L4" s="196"/>
      <c r="M4" s="216"/>
      <c r="N4" s="200" t="s">
        <v>247</v>
      </c>
      <c r="O4" s="202" t="s">
        <v>136</v>
      </c>
      <c r="P4" s="202" t="s">
        <v>135</v>
      </c>
      <c r="Q4" s="195" t="s">
        <v>242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237</v>
      </c>
      <c r="F5" s="219"/>
      <c r="G5" s="205"/>
      <c r="H5" s="207"/>
      <c r="I5" s="203"/>
      <c r="J5" s="209"/>
      <c r="K5" s="197"/>
      <c r="L5" s="198"/>
      <c r="M5" s="151" t="s">
        <v>241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4"/>
      <c r="O139" s="194"/>
    </row>
    <row r="140" spans="3:15" ht="15.75">
      <c r="C140" s="120">
        <v>41816</v>
      </c>
      <c r="D140" s="39">
        <v>4277.2</v>
      </c>
      <c r="F140" s="4" t="s">
        <v>166</v>
      </c>
      <c r="G140" s="190" t="s">
        <v>151</v>
      </c>
      <c r="H140" s="190"/>
      <c r="I140" s="115">
        <f>'[1]залишки  (2)'!$G$9/1000</f>
        <v>9020.59653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41815</v>
      </c>
      <c r="D141" s="39">
        <v>1877.7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117976.29</v>
      </c>
      <c r="E143" s="80"/>
      <c r="F143" s="100" t="s">
        <v>147</v>
      </c>
      <c r="G143" s="190" t="s">
        <v>149</v>
      </c>
      <c r="H143" s="190"/>
      <c r="I143" s="116">
        <v>104151.07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41386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233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229</v>
      </c>
      <c r="H4" s="206" t="s">
        <v>230</v>
      </c>
      <c r="I4" s="202" t="s">
        <v>188</v>
      </c>
      <c r="J4" s="208" t="s">
        <v>189</v>
      </c>
      <c r="K4" s="195" t="s">
        <v>231</v>
      </c>
      <c r="L4" s="196"/>
      <c r="M4" s="216"/>
      <c r="N4" s="200" t="s">
        <v>236</v>
      </c>
      <c r="O4" s="202" t="s">
        <v>136</v>
      </c>
      <c r="P4" s="202" t="s">
        <v>135</v>
      </c>
      <c r="Q4" s="195" t="s">
        <v>234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228</v>
      </c>
      <c r="F5" s="219"/>
      <c r="G5" s="205"/>
      <c r="H5" s="207"/>
      <c r="I5" s="203"/>
      <c r="J5" s="209"/>
      <c r="K5" s="197"/>
      <c r="L5" s="198"/>
      <c r="M5" s="151" t="s">
        <v>232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4"/>
      <c r="O138" s="194"/>
    </row>
    <row r="139" spans="3:15" ht="15.75">
      <c r="C139" s="120">
        <v>41788</v>
      </c>
      <c r="D139" s="39">
        <v>5993.3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41787</v>
      </c>
      <c r="D140" s="39">
        <v>2595.2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118982.48</v>
      </c>
      <c r="E142" s="80"/>
      <c r="F142" s="100" t="s">
        <v>147</v>
      </c>
      <c r="G142" s="190" t="s">
        <v>149</v>
      </c>
      <c r="H142" s="190"/>
      <c r="I142" s="116">
        <v>105157.26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27359.4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221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217</v>
      </c>
      <c r="H4" s="206" t="s">
        <v>218</v>
      </c>
      <c r="I4" s="202" t="s">
        <v>188</v>
      </c>
      <c r="J4" s="208" t="s">
        <v>189</v>
      </c>
      <c r="K4" s="195" t="s">
        <v>219</v>
      </c>
      <c r="L4" s="196"/>
      <c r="M4" s="216"/>
      <c r="N4" s="200" t="s">
        <v>227</v>
      </c>
      <c r="O4" s="202" t="s">
        <v>136</v>
      </c>
      <c r="P4" s="202" t="s">
        <v>135</v>
      </c>
      <c r="Q4" s="195" t="s">
        <v>222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216</v>
      </c>
      <c r="F5" s="219"/>
      <c r="G5" s="205"/>
      <c r="H5" s="207"/>
      <c r="I5" s="203"/>
      <c r="J5" s="209"/>
      <c r="K5" s="197"/>
      <c r="L5" s="198"/>
      <c r="M5" s="151" t="s">
        <v>220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4"/>
      <c r="O138" s="194"/>
    </row>
    <row r="139" spans="3:15" ht="15.75">
      <c r="C139" s="120">
        <v>41758</v>
      </c>
      <c r="D139" s="39">
        <v>5440.9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41757</v>
      </c>
      <c r="D140" s="39">
        <v>1923.2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123251.48</v>
      </c>
      <c r="E142" s="80"/>
      <c r="F142" s="100" t="s">
        <v>147</v>
      </c>
      <c r="G142" s="190" t="s">
        <v>149</v>
      </c>
      <c r="H142" s="190"/>
      <c r="I142" s="116">
        <v>109426.25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f>'[1]надх'!$B$52/1000</f>
        <v>15285.838639999998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212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208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210</v>
      </c>
      <c r="N3" s="217" t="s">
        <v>198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207</v>
      </c>
      <c r="H4" s="206" t="s">
        <v>195</v>
      </c>
      <c r="I4" s="202" t="s">
        <v>188</v>
      </c>
      <c r="J4" s="208" t="s">
        <v>189</v>
      </c>
      <c r="K4" s="195" t="s">
        <v>196</v>
      </c>
      <c r="L4" s="196"/>
      <c r="M4" s="216"/>
      <c r="N4" s="200" t="s">
        <v>213</v>
      </c>
      <c r="O4" s="202" t="s">
        <v>136</v>
      </c>
      <c r="P4" s="202" t="s">
        <v>135</v>
      </c>
      <c r="Q4" s="195" t="s">
        <v>197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214</v>
      </c>
      <c r="F5" s="219"/>
      <c r="G5" s="205"/>
      <c r="H5" s="207"/>
      <c r="I5" s="203"/>
      <c r="J5" s="209"/>
      <c r="K5" s="197"/>
      <c r="L5" s="198"/>
      <c r="M5" s="151" t="s">
        <v>211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4"/>
      <c r="O138" s="194"/>
    </row>
    <row r="139" spans="3:15" ht="15.75">
      <c r="C139" s="120">
        <v>41726</v>
      </c>
      <c r="D139" s="39">
        <v>4682.6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41725</v>
      </c>
      <c r="D140" s="39">
        <v>3360.7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114985.02570999999</v>
      </c>
      <c r="E142" s="80"/>
      <c r="F142" s="100" t="s">
        <v>147</v>
      </c>
      <c r="G142" s="190" t="s">
        <v>149</v>
      </c>
      <c r="H142" s="190"/>
      <c r="I142" s="116">
        <v>101159.80375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3918.1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2014-11-04T13:46:37Z</cp:lastPrinted>
  <dcterms:created xsi:type="dcterms:W3CDTF">2003-07-28T11:27:56Z</dcterms:created>
  <dcterms:modified xsi:type="dcterms:W3CDTF">2014-11-05T13:08:15Z</dcterms:modified>
  <cp:category/>
  <cp:version/>
  <cp:contentType/>
  <cp:contentStatus/>
</cp:coreProperties>
</file>